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40" windowWidth="26835" windowHeight="13140" activeTab="0"/>
  </bookViews>
  <sheets>
    <sheet name="eelarve täitmine" sheetId="1" r:id="rId1"/>
    <sheet name="investeeringud" sheetId="2" r:id="rId2"/>
  </sheets>
  <definedNames>
    <definedName name="_xlfn.SUMIFS" hidden="1">#NAME?</definedName>
  </definedNames>
  <calcPr fullCalcOnLoad="1"/>
</workbook>
</file>

<file path=xl/comments2.xml><?xml version="1.0" encoding="utf-8"?>
<comments xmlns="http://schemas.openxmlformats.org/spreadsheetml/2006/main">
  <authors>
    <author>Tartu Linnavalitsus</author>
  </authors>
  <commentList>
    <comment ref="G30" authorId="0">
      <text>
        <r>
          <rPr>
            <b/>
            <sz val="9"/>
            <rFont val="Tahoma"/>
            <family val="2"/>
          </rPr>
          <t>Tartu Linnavalitsus:</t>
        </r>
        <r>
          <rPr>
            <sz val="9"/>
            <rFont val="Tahoma"/>
            <family val="2"/>
          </rPr>
          <t xml:space="preserve">
sh maa ost Soojuse 2, 6000 eurot</t>
        </r>
      </text>
    </comment>
  </commentList>
</comments>
</file>

<file path=xl/sharedStrings.xml><?xml version="1.0" encoding="utf-8"?>
<sst xmlns="http://schemas.openxmlformats.org/spreadsheetml/2006/main" count="733" uniqueCount="373">
  <si>
    <t>Põhivara soetus</t>
  </si>
  <si>
    <t>PVS</t>
  </si>
  <si>
    <t>Põhivara soetuseks antav sihtfinantseerimine</t>
  </si>
  <si>
    <t>ASF</t>
  </si>
  <si>
    <t>Finantskulud</t>
  </si>
  <si>
    <t>FK</t>
  </si>
  <si>
    <t>Investeerimistegevuse kulud objektide ja finantseerimisallikate lõikes</t>
  </si>
  <si>
    <t>Üldised valitsussektori teenused</t>
  </si>
  <si>
    <t>RO</t>
  </si>
  <si>
    <t>Linna laenude teenindamine</t>
  </si>
  <si>
    <t>HO</t>
  </si>
  <si>
    <t>Riigi Kinnisvara ASile (H. Masingu Kooli ja J. Poska Gümnaasiumi) intressid</t>
  </si>
  <si>
    <t>KO</t>
  </si>
  <si>
    <t>Raamatukogu väikebussi liisingu intressid</t>
  </si>
  <si>
    <t>Maarja kooli bussi liisingu intressid</t>
  </si>
  <si>
    <t>LVO</t>
  </si>
  <si>
    <t>LK</t>
  </si>
  <si>
    <t>Majandus</t>
  </si>
  <si>
    <t>LMO</t>
  </si>
  <si>
    <t>Tänavate rekonstrueerimine, ehitus</t>
  </si>
  <si>
    <t>Kruusakattega tänavate asfalteerimine</t>
  </si>
  <si>
    <t>Ülekatted ja pindamised</t>
  </si>
  <si>
    <t>Sadevee liitumistasu</t>
  </si>
  <si>
    <t>Koostöö võrguarendajatega</t>
  </si>
  <si>
    <t xml:space="preserve">Toetus SA-le Tartu Teaduspark infrastruktuuri arendamiseks </t>
  </si>
  <si>
    <t xml:space="preserve">  Muu majandus</t>
  </si>
  <si>
    <t>Ettekirjutuste täitmiseks linna hoonetes</t>
  </si>
  <si>
    <t>Korteriühistute remondifond</t>
  </si>
  <si>
    <t>Keskkonnakaitse</t>
  </si>
  <si>
    <t xml:space="preserve">   Elamumajanduse arendamine</t>
  </si>
  <si>
    <t xml:space="preserve">Linnale kuuluvate korterite remont </t>
  </si>
  <si>
    <t xml:space="preserve">   Tänavavalgustus</t>
  </si>
  <si>
    <t>Tänavavalgustuse haldusprogrammi väljavahetamine</t>
  </si>
  <si>
    <t xml:space="preserve">  Muu elamu- ja kommunaaltegevus</t>
  </si>
  <si>
    <t xml:space="preserve">   Spordibaasid</t>
  </si>
  <si>
    <t>Annelinna kunstmuruväljak</t>
  </si>
  <si>
    <t>spordiinventari soetuseks</t>
  </si>
  <si>
    <t>Pillide ost</t>
  </si>
  <si>
    <t xml:space="preserve">   Muinsuskaitse</t>
  </si>
  <si>
    <t xml:space="preserve">Toetus SAle Tartu Pauluse Kirik </t>
  </si>
  <si>
    <t>AEO</t>
  </si>
  <si>
    <t>Toetus Eesti Apostlik Õigeusu Kirikule</t>
  </si>
  <si>
    <t xml:space="preserve">Toetus EELK Tartu Peetri Kogudusele </t>
  </si>
  <si>
    <t>Restaureerimise toetused</t>
  </si>
  <si>
    <t>Haridus</t>
  </si>
  <si>
    <t xml:space="preserve">   Lasteaiad (09110)</t>
  </si>
  <si>
    <t>Kesklinna Lastekeskus (Akadeemia 2)</t>
  </si>
  <si>
    <t>Hansa Kool (Anne 63)</t>
  </si>
  <si>
    <t>Karlova Kool (Lina 2)</t>
  </si>
  <si>
    <t>Forseliuse Kool (Tähe 103)</t>
  </si>
  <si>
    <t>Kesklinna Kool (Kroonuaia 7)</t>
  </si>
  <si>
    <t xml:space="preserve">   Muu haridus (09800)</t>
  </si>
  <si>
    <t>Ettekirjutiste täitmine</t>
  </si>
  <si>
    <t>Haridusasutuste rekonstrueerimistööde projekteerimised</t>
  </si>
  <si>
    <t>Sotsiaalne kaitse</t>
  </si>
  <si>
    <t>SO</t>
  </si>
  <si>
    <t>Tartu Linnavalitsus</t>
  </si>
  <si>
    <t>seisuga:</t>
  </si>
  <si>
    <t xml:space="preserve">Eelarve </t>
  </si>
  <si>
    <t>Täitmine</t>
  </si>
  <si>
    <t>%</t>
  </si>
  <si>
    <t>kasv</t>
  </si>
  <si>
    <t>Klassifikaator</t>
  </si>
  <si>
    <t>Kirje nimetus</t>
  </si>
  <si>
    <t>täitmine</t>
  </si>
  <si>
    <t>eurodes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</si>
  <si>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</si>
  <si>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</si>
  <si>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</si>
  <si>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</si>
  <si>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</si>
  <si>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</si>
  <si>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</si>
  <si>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</si>
  <si>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</si>
  <si>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</si>
  <si>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</si>
  <si>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</si>
  <si>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</si>
  <si>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</si>
  <si>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3500, 352.01.. .8</t>
  </si>
  <si>
    <t>Muud saadud toetused tegevuskuludeks</t>
  </si>
  <si>
    <t>3825, 388</t>
  </si>
  <si>
    <t xml:space="preserve">Muud tegevustulud </t>
  </si>
  <si>
    <t>Varude müük</t>
  </si>
  <si>
    <t>x</t>
  </si>
  <si>
    <t>Laekumine vee erikasutusest</t>
  </si>
  <si>
    <t>Saastetasud ja keskkonnale tekitatud kahju hüvitis</t>
  </si>
  <si>
    <t>3880, 3888</t>
  </si>
  <si>
    <t xml:space="preserve">Eelpool nimetamata muud tegevustulud </t>
  </si>
  <si>
    <t>PÕHITEGEVUSE KULUD KOKKU</t>
  </si>
  <si>
    <t>40, 41, 4500, 452</t>
  </si>
  <si>
    <t>Antavad toetused tegevuskuludeks</t>
  </si>
  <si>
    <t>Muud tegevuskulud</t>
  </si>
  <si>
    <t>s h töötasud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</si>
  <si>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</si>
  <si>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</si>
  <si>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</si>
  <si>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</si>
  <si>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</si>
  <si>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</si>
  <si>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</si>
  <si>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</si>
  <si>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</si>
  <si>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</si>
  <si>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</si>
  <si>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</si>
  <si>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</si>
  <si>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</si>
  <si>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20.5</t>
  </si>
  <si>
    <t>Kohustuste võtmine (+)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</si>
  <si>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</si>
  <si>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</si>
  <si>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</si>
  <si>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</si>
  <si>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</si>
  <si>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</si>
  <si>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</si>
  <si>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Kohustuste tasumine (-)</t>
  </si>
  <si>
    <t>2080.6</t>
  </si>
  <si>
    <t>2081.6</t>
  </si>
  <si>
    <t>2082.6</t>
  </si>
  <si>
    <t>LIKVIIDSETE VARADE MUUTUS (+ suurenemine, - vähenemine)</t>
  </si>
  <si>
    <t>Põhitegevuse kulud TEGEVUSALATI</t>
  </si>
  <si>
    <t>01</t>
  </si>
  <si>
    <t>03</t>
  </si>
  <si>
    <t>Avalik kord ja julgeolek</t>
  </si>
  <si>
    <t>04</t>
  </si>
  <si>
    <t>05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</si>
  <si>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</si>
  <si>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</si>
  <si>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</si>
  <si>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</si>
  <si>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</si>
  <si>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</si>
  <si>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</si>
  <si>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10</t>
  </si>
  <si>
    <t>Investeerimistegevuse kulud TEGEVUSALATI</t>
  </si>
  <si>
    <t>Lasteaedade sisekliima tagamine</t>
  </si>
  <si>
    <t>Baeri-Näituse-Ilmatsalu</t>
  </si>
  <si>
    <t>Kroonuaia sild-Aruküla tee</t>
  </si>
  <si>
    <t>TARTU LINNA 2016. a eelarve INVESTEERIMISTEGEVUSE  KULUD</t>
  </si>
  <si>
    <t>Kinnit</t>
  </si>
  <si>
    <t xml:space="preserve">Täitmine </t>
  </si>
  <si>
    <t>INVESTEERIMISTEGEVUS  KULUD  kokku</t>
  </si>
  <si>
    <t>sh toetused</t>
  </si>
  <si>
    <t>ÜLDISED  VALITSUSSEKTORI  TEENUSED</t>
  </si>
  <si>
    <t xml:space="preserve">   Valitsussektori võla teenindamine</t>
  </si>
  <si>
    <t>Küüni 5 ametiruumide remont</t>
  </si>
  <si>
    <t>Linnavalitsuse IT vahendite soetamine</t>
  </si>
  <si>
    <t>MAJANDUS</t>
  </si>
  <si>
    <t>LPM</t>
  </si>
  <si>
    <t xml:space="preserve">Vaksali tn väljak, parklad, kergliiklusteed </t>
  </si>
  <si>
    <t>Tartu idapoolse ringtee ehitamine</t>
  </si>
  <si>
    <t xml:space="preserve">Roosi tn </t>
  </si>
  <si>
    <t>Muuseumi tee</t>
  </si>
  <si>
    <t>Ülikooli tn rekonstrueerimine (Vallikraavi-Lossi)</t>
  </si>
  <si>
    <t xml:space="preserve">Kastani (Kuperjanovi - Riia), Tiigi - Vaksali </t>
  </si>
  <si>
    <t>Soola, Turu, Kalevi tn</t>
  </si>
  <si>
    <t>Struve tn</t>
  </si>
  <si>
    <t>Killustikparkla rajamine tasuta parkimiseks (Uus 63d)</t>
  </si>
  <si>
    <t>Raudtee tn T41 juurdepääsutee ehitamine</t>
  </si>
  <si>
    <t>Sanatooriumi tn</t>
  </si>
  <si>
    <t>Toetus Tartu Ülikoolile raamatukoguesise platsi rekonstrueerimiseks</t>
  </si>
  <si>
    <t>Koostööprojektid korteriühistutega parklate (sh rattaparklad) rajamiseks</t>
  </si>
  <si>
    <t>Projekteerimised</t>
  </si>
  <si>
    <t>Turusilla remont</t>
  </si>
  <si>
    <t>Kaarsilla remondi projekteerimine</t>
  </si>
  <si>
    <t>Jalg- ja jalgrattateed</t>
  </si>
  <si>
    <t>Turu jalakäijate sild-Annelinn-Nõlvaku</t>
  </si>
  <si>
    <t>Filosoofi, Lootuse, Kalevi, Aida kergliiklusteed</t>
  </si>
  <si>
    <t>Võru tn kõnnitee (Riia - Kastani)</t>
  </si>
  <si>
    <t>Jalgtee Võidu sillale</t>
  </si>
  <si>
    <t>Tamme pst kõnniteed</t>
  </si>
  <si>
    <t>Turu tn 8 roheala kergliiklustee</t>
  </si>
  <si>
    <t xml:space="preserve">   Liikluskorraldus</t>
  </si>
  <si>
    <t xml:space="preserve">
Kroonuaia-Emajõe fooride rekonstrueerimine</t>
  </si>
  <si>
    <t>Ühistranspordi korraldus</t>
  </si>
  <si>
    <t>Tartu bussidepoo</t>
  </si>
  <si>
    <t>EVO</t>
  </si>
  <si>
    <t>Toetus SA-le Tartu Loomemajanduskeskus loomekiirendi fondi moodustamiseks</t>
  </si>
  <si>
    <t>Roosi ja Kasarmu tn äärsete alade korrastamine (ERMi ümbrus)</t>
  </si>
  <si>
    <t>Tartu Maratoni monumendi rajamine</t>
  </si>
  <si>
    <t>Tiigi Seltsimaja (Tiigi 11)</t>
  </si>
  <si>
    <t>KESKKONNAKAITSE</t>
  </si>
  <si>
    <t>Emajõe suvekohvikute platvormide ehitamine</t>
  </si>
  <si>
    <t>Toomemäe rekonstrueerimine</t>
  </si>
  <si>
    <t>Riiamäe platsi rekonstrueerimine</t>
  </si>
  <si>
    <t>Kanali äärde koerte jalutusväljaku rajamine</t>
  </si>
  <si>
    <t>Tartu tammiku projekteerimine</t>
  </si>
  <si>
    <t>Ihaste välitreeningala kaasajastamine</t>
  </si>
  <si>
    <t>Projekteerimine ja projektide korrektuurid</t>
  </si>
  <si>
    <t>Jalaka 48a mängu- ja spordiväljaku ehitamine</t>
  </si>
  <si>
    <t>ELAMU- ja KOMMUNAALMAJANDUS</t>
  </si>
  <si>
    <t>Linnale kuuluvate elamute remont, sh:</t>
  </si>
  <si>
    <t>Rahu 8</t>
  </si>
  <si>
    <t xml:space="preserve">Kalda tee 40 </t>
  </si>
  <si>
    <t>Mõisavahe 67</t>
  </si>
  <si>
    <t xml:space="preserve">Puiestee 114 </t>
  </si>
  <si>
    <t>Annemõisa 4</t>
  </si>
  <si>
    <t>osalus korteriühistute hoonete rekonstrueerimistöödel</t>
  </si>
  <si>
    <t>Võidu silla kujundusvalgustus</t>
  </si>
  <si>
    <t>Juhtimiskilpide ja valgustite kaugjuhitavate juhtimiskontrollerite ost ja paigaldamine</t>
  </si>
  <si>
    <t>Hipodroomi 12a ringteele valgustuse ehitus</t>
  </si>
  <si>
    <t>Annelinna piirkonna valgustuse renoveerimise projekt</t>
  </si>
  <si>
    <t>Uspenski kabeli katuse ja Raadi leinamaja remont</t>
  </si>
  <si>
    <t>Kalmistu t tänavaäärsete piirete remont</t>
  </si>
  <si>
    <t>Rahumäe kalmistu abihoone projekteerimine</t>
  </si>
  <si>
    <t>Vana-Jaani kalmistu värava rekonstrueerimise projekteerimine</t>
  </si>
  <si>
    <t>TERVISHOID</t>
  </si>
  <si>
    <t xml:space="preserve"> </t>
  </si>
  <si>
    <t>VABA AEG ja KULTUUR</t>
  </si>
  <si>
    <t>Spordikool (Turu 8)</t>
  </si>
  <si>
    <t>Tamme staadion</t>
  </si>
  <si>
    <t>EMÜ spordihoone ehitamise toetamine</t>
  </si>
  <si>
    <t>TÜ spordihoone renoveerimise toetamine</t>
  </si>
  <si>
    <t>Annemõisa spordikeskuse olmehoone rekonstrueerimine</t>
  </si>
  <si>
    <t>MTÜ Jalgpallikool Tammeka Tartu Sepa staadioni rekonstrueerimiseks</t>
  </si>
  <si>
    <t>Veski baas</t>
  </si>
  <si>
    <t>Toetus Sõudmise ja Aerutamise Klubile, sh</t>
  </si>
  <si>
    <t>paadikuuri remondiks</t>
  </si>
  <si>
    <t>spordivarustuse soetamiseks</t>
  </si>
  <si>
    <t xml:space="preserve">SAle Tartu Sport, sh </t>
  </si>
  <si>
    <t>kunstmurutraktori rendimakseteks</t>
  </si>
  <si>
    <t xml:space="preserve">skatehalli ehitamiseks </t>
  </si>
  <si>
    <t xml:space="preserve">galeriide ja raadiomaja katuse remondiks </t>
  </si>
  <si>
    <t xml:space="preserve">rajatraktori rendimakseteks </t>
  </si>
  <si>
    <t>BMX krossiraja renoveerimiseks, ronimisseina rajamiseks ja dendropargi terviseradade arenduseks</t>
  </si>
  <si>
    <t xml:space="preserve">II Muusikakool (Kaunase pst 23) </t>
  </si>
  <si>
    <t xml:space="preserve">Anne Noortekeskus (Uus 56) </t>
  </si>
  <si>
    <t>Lille Maja (Lille 9)</t>
  </si>
  <si>
    <t xml:space="preserve">Hoone rekonstrueerimistöödeks (Kompanii 3/5) </t>
  </si>
  <si>
    <t>Linnaraamatukogu harukogudele videovalve paigaldamine</t>
  </si>
  <si>
    <t xml:space="preserve">  Muuseumid</t>
  </si>
  <si>
    <t>Linnamuuseumi (Narva mnt 25) püsinäituse arhitektuurne ja sisekujunduslik eskiisprojekt</t>
  </si>
  <si>
    <t>Linnamuuseum (Narva mnt 23) ruumide remondiks</t>
  </si>
  <si>
    <t xml:space="preserve">Linnakodaniku muuseum (Jaani 16) </t>
  </si>
  <si>
    <t>Toetus Tartu Maarja Kiriku SAle</t>
  </si>
  <si>
    <t>Teatrid</t>
  </si>
  <si>
    <t>Tartu Uue Teatri publikuala rekonstrueerimine</t>
  </si>
  <si>
    <t xml:space="preserve">  Muu vabaaeg ja kultuur</t>
  </si>
  <si>
    <t>Elleri amfiteater Toomemäe nõlval (kaasav eelarve)</t>
  </si>
  <si>
    <t>HARIDUS</t>
  </si>
  <si>
    <t xml:space="preserve">Uute lasteaedade rajamine, sh </t>
  </si>
  <si>
    <t>(Pepleri 1a)</t>
  </si>
  <si>
    <t>Pepler 1a</t>
  </si>
  <si>
    <t>Lasteaedade rekonstrueerimine, sh</t>
  </si>
  <si>
    <t>LA Rukkilill (Sepa 18)</t>
  </si>
  <si>
    <t>LA Karoliine (Kesk 6)</t>
  </si>
  <si>
    <t>LA Maarjamõisa (Puusepa 10)</t>
  </si>
  <si>
    <t>LA Ristikhein (Ropka tee 25)</t>
  </si>
  <si>
    <t>LA Krõll  (Anne 67)</t>
  </si>
  <si>
    <t>Lasteaedade rühmade remondid</t>
  </si>
  <si>
    <t>Lasteaedade köökide remondid ja köögiseadmete ost</t>
  </si>
  <si>
    <t>Lasteaedade mänguväljakute ja õuepaviljonide korrashoid</t>
  </si>
  <si>
    <t>A. Puškini Kool (Uus 54)</t>
  </si>
  <si>
    <t>Veeriku Kool (Veeriku 41)</t>
  </si>
  <si>
    <t>Tamme Kool (Tamme pst 24a)</t>
  </si>
  <si>
    <t>Raatuse Kool (Raatuse 88a)</t>
  </si>
  <si>
    <t>Kroonuaia Kool (Puiestee 62)</t>
  </si>
  <si>
    <t>Descartes'i Kool (Anne 65)</t>
  </si>
  <si>
    <t>H. Masingu Kool (Vanemuise 33)</t>
  </si>
  <si>
    <t>koolide ühine spordiväljak</t>
  </si>
  <si>
    <t>H. Treffneri Gümnaasium (Munga 12)</t>
  </si>
  <si>
    <t>Ruumide remont (Põllu 11)</t>
  </si>
  <si>
    <t>Õppeotstarbeliste seadmete soetamine</t>
  </si>
  <si>
    <t>Haridusasutuste territooriumide korrashoid</t>
  </si>
  <si>
    <t>Haridusasutuste välistreppide rekonstrueerimine</t>
  </si>
  <si>
    <t>Koolide spordiväljakud ja staadionid</t>
  </si>
  <si>
    <t>Karlova Kooli (Lina 2) staadion</t>
  </si>
  <si>
    <t>M. Reiniku kooli (Riia 25) staadion</t>
  </si>
  <si>
    <t>koolide spordiväljakud</t>
  </si>
  <si>
    <t>projektis Osirys osalemine</t>
  </si>
  <si>
    <t>SOTSIAALNE  KAITSE</t>
  </si>
  <si>
    <t xml:space="preserve">   Muu sotsiaalsete riskirühmade kaitse</t>
  </si>
  <si>
    <t>OÜ-le Anne Saun (Anne 44) lifti paigaldamiseks</t>
  </si>
  <si>
    <t>s h  võlakirjade emiteerimine (tasumine)</t>
  </si>
  <si>
    <t xml:space="preserve">       laenud (tasumine)</t>
  </si>
  <si>
    <t xml:space="preserve">       kapitalirent (tasumine)</t>
  </si>
  <si>
    <t>Annelinna kõnniteed</t>
  </si>
  <si>
    <t>Avalike tualettide projekteerimine</t>
  </si>
  <si>
    <t xml:space="preserve">   Raamatukogud - O. Lutsu nim Linnaraamatukogu</t>
  </si>
  <si>
    <t>Arena Tartu  (kaasav eelarve)</t>
  </si>
  <si>
    <t>K.Luige monumendi rajamine</t>
  </si>
  <si>
    <t>*</t>
  </si>
  <si>
    <t>investeeringud toetustest</t>
  </si>
  <si>
    <t>101.2.1</t>
  </si>
  <si>
    <t>Osaluste müük (+)</t>
  </si>
  <si>
    <t>101.1.1</t>
  </si>
  <si>
    <t>Osaluste soetus (-)</t>
  </si>
  <si>
    <t>Tööjõukulud</t>
  </si>
  <si>
    <t>Eelarve täitmise aruanne</t>
  </si>
  <si>
    <t>Täpsust. e/a</t>
  </si>
  <si>
    <t>Raekoja kellamäng</t>
  </si>
  <si>
    <t>Maa Muuseumi tee tarbeks</t>
  </si>
  <si>
    <t xml:space="preserve">      Roosi tn (Puiestee-Narva mnt)</t>
  </si>
  <si>
    <t xml:space="preserve">     Riia tn (Ravila-Pepleri)   </t>
  </si>
  <si>
    <t xml:space="preserve">    Turu tn </t>
  </si>
  <si>
    <t>Raudtee tn lõigus Riia-Ringtee kergkiiklustee</t>
  </si>
  <si>
    <t>Riia-Kase põik-Kabeli-Ülenurme-Võru kergliiklustee</t>
  </si>
  <si>
    <t>Arhitektuuri ja ehituse osak.arhiiviruumide remont</t>
  </si>
  <si>
    <t xml:space="preserve">   Maakorraldus</t>
  </si>
  <si>
    <t>maa ost linnarahva puhkeala tagamiseks</t>
  </si>
  <si>
    <t>Linna teed ja tänavad</t>
  </si>
  <si>
    <t>Adra, Künni, Vao tänavate rekontrueerimine</t>
  </si>
  <si>
    <t>Koostöö arendajatega Püssirohukeldri sissesõidutee rekonstrueerimiseks</t>
  </si>
  <si>
    <t>Bussijuhtide puhkepaviljon</t>
  </si>
  <si>
    <t>Tarkvara "Tartu bussiajad" litsents</t>
  </si>
  <si>
    <t>Kitsas tänav</t>
  </si>
  <si>
    <t>Emajõeäärsete paviljonide elektritoide ja liitumine</t>
  </si>
  <si>
    <t>Kalmistute andmebaasi loomine</t>
  </si>
  <si>
    <t>Raadi kalmistu kivisillutis</t>
  </si>
  <si>
    <t>Uus-Jaani, Vana-Peetri, Uus-Peetri ja Pauluse kalmistute väravate restaureerimine</t>
  </si>
  <si>
    <t>ABC Kinnisvarateenuste OÜle Aparaaditehase hoovi vaba aja veetmise keskuse loomiseks</t>
  </si>
  <si>
    <t>Vana tapamaja värava resataureerimine</t>
  </si>
  <si>
    <t>Telleri kabeli katuse remont</t>
  </si>
  <si>
    <t xml:space="preserve">Kivilinna Kool ( Kaunase pst 71) </t>
  </si>
  <si>
    <t>M.Härma Gümnaasium (Tõnissoni 3)</t>
  </si>
  <si>
    <t>Eakate hoolekande asutused</t>
  </si>
  <si>
    <t xml:space="preserve">
Hooldekodule majandusinventari soetus</t>
  </si>
  <si>
    <t>Tähtvere Päevakeskusele majandusinventari soetus</t>
  </si>
  <si>
    <t>Laste ja noorte hoolekande asutused</t>
  </si>
  <si>
    <t>Laste Turvakodu õueala inventari soetamine</t>
  </si>
  <si>
    <t>Eskiisi koostamine Jaama 72 II korruse kohandamiseks lasteaiale</t>
  </si>
  <si>
    <t>Kohandatud eluruumide eskiisprojekti koostamine</t>
  </si>
  <si>
    <t>Projekteerimised, sh</t>
  </si>
  <si>
    <t xml:space="preserve">   Sõpruse silla käsipuud ja kõnnitee remont</t>
  </si>
  <si>
    <t xml:space="preserve">   Tugimaantee 40 Tartu-Tiksoja äärne    jalgrattatee</t>
  </si>
  <si>
    <t xml:space="preserve">   Lootuse tn</t>
  </si>
  <si>
    <t>Riia-Lunini ristmikule lisafoori paigaldamine</t>
  </si>
  <si>
    <t>Osalemine Smart EN City projektis (linnakeskkonna tark ja säästev kujundamine)</t>
  </si>
  <si>
    <t xml:space="preserve">   Muu keskkonnakaitse - 
</t>
  </si>
  <si>
    <t xml:space="preserve">
Purrete paigaldamine Emajõe kallasrajale</t>
  </si>
  <si>
    <t>Purrete paigaldamine Emajõe kallasrajale</t>
  </si>
  <si>
    <t>K.J.Petersoni Gümnaasium</t>
  </si>
  <si>
    <t>Info-ja kommunikatsiooniseadmed</t>
  </si>
  <si>
    <t>Hoonete remont</t>
  </si>
  <si>
    <t>seisuga 30.09.2016</t>
  </si>
  <si>
    <t>sept.</t>
  </si>
  <si>
    <t xml:space="preserve">     Rukkilille-Nõmmeliiva ja Lubja tn</t>
  </si>
  <si>
    <t xml:space="preserve">     Pääsusilma-Raudtee-A.Starkopfi tn</t>
  </si>
  <si>
    <t xml:space="preserve">     Vaarika, Tervishoiu, Laseri, Kulli, Vardi, Kesa</t>
  </si>
  <si>
    <t xml:space="preserve">    Kartuli, Meloni, Mäe, Peetri ja Kasarmu</t>
  </si>
  <si>
    <t xml:space="preserve">   Väike -Kaar, laane, Lunini põik, Lunini, Side</t>
  </si>
  <si>
    <t xml:space="preserve">   Turu-Teguri</t>
  </si>
  <si>
    <t xml:space="preserve">Kreutzwaldi tn </t>
  </si>
  <si>
    <t xml:space="preserve">   Kreutzwaldi tn rekonstr.lisaprojekteerimine</t>
  </si>
  <si>
    <t>Peetri tn tiigi süvendamine ja korrastamine</t>
  </si>
  <si>
    <t>Vanemuise trepid koostöös teatriga Vanemuine</t>
  </si>
  <si>
    <t>Ülekäiguridade täiendav valgustamine</t>
  </si>
  <si>
    <t>P.Põllu pargi WC</t>
  </si>
  <si>
    <t>Koolihoone Nooruse 9</t>
  </si>
  <si>
    <t>MTÜ Puuetega Inimeste Koda</t>
  </si>
  <si>
    <t xml:space="preserve"> Toetus Mäe kodu (Mäe 33) rekonstrueerimise projektile</t>
  </si>
  <si>
    <r>
      <t xml:space="preserve">   </t>
    </r>
    <r>
      <rPr>
        <b/>
        <i/>
        <sz val="10"/>
        <rFont val="Times New Roman"/>
        <family val="1"/>
      </rPr>
      <t>Linnavalitsus</t>
    </r>
  </si>
  <si>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maa ost teede ja tänavate aluse maa korraldamiseks</t>
    </r>
  </si>
  <si>
    <r>
      <t xml:space="preserve">   </t>
    </r>
    <r>
      <rPr>
        <b/>
        <i/>
        <sz val="10"/>
        <rFont val="Times New Roman"/>
        <family val="1"/>
      </rPr>
      <t>Üldmajanduslikud arendusprojektid</t>
    </r>
  </si>
  <si>
    <r>
      <t xml:space="preserve">   </t>
    </r>
    <r>
      <rPr>
        <b/>
        <i/>
        <sz val="10"/>
        <rFont val="Times New Roman"/>
        <family val="1"/>
      </rPr>
      <t xml:space="preserve">Jäätmekäitlus </t>
    </r>
    <r>
      <rPr>
        <sz val="10"/>
        <rFont val="Times New Roman"/>
        <family val="1"/>
      </rPr>
      <t>- toetus jäätmemajade ja süvakogumismahutite rajamiseks</t>
    </r>
  </si>
  <si>
    <r>
      <t xml:space="preserve">   Veemajandus </t>
    </r>
    <r>
      <rPr>
        <sz val="10"/>
        <rFont val="Times New Roman"/>
        <family val="1"/>
      </rPr>
      <t>- toetus hüdrantide rajamiseks</t>
    </r>
  </si>
  <si>
    <r>
      <t xml:space="preserve">   </t>
    </r>
    <r>
      <rPr>
        <b/>
        <i/>
        <sz val="10"/>
        <rFont val="Times New Roman"/>
        <family val="1"/>
      </rPr>
      <t>Haljastus</t>
    </r>
  </si>
  <si>
    <r>
      <t xml:space="preserve">   Muu tervishoid</t>
    </r>
    <r>
      <rPr>
        <sz val="10"/>
        <rFont val="Times New Roman"/>
        <family val="1"/>
      </rPr>
      <t xml:space="preserve"> - Annelinna tervisekeskuse ruumimahu määratlemine ja eskiisprojekti koostamine</t>
    </r>
  </si>
  <si>
    <r>
      <t xml:space="preserve">   </t>
    </r>
    <r>
      <rPr>
        <b/>
        <i/>
        <sz val="10"/>
        <rFont val="Times New Roman"/>
        <family val="1"/>
      </rPr>
      <t>Puhkepargid</t>
    </r>
    <r>
      <rPr>
        <sz val="10"/>
        <rFont val="Times New Roman"/>
        <family val="1"/>
      </rPr>
      <t xml:space="preserve"> - SA-le Tähtvere Puhkepark</t>
    </r>
  </si>
  <si>
    <r>
      <t xml:space="preserve">   </t>
    </r>
    <r>
      <rPr>
        <b/>
        <i/>
        <sz val="10"/>
        <rFont val="Times New Roman"/>
        <family val="1"/>
      </rPr>
      <t>Laste huvikoolid</t>
    </r>
  </si>
  <si>
    <r>
      <t xml:space="preserve">   </t>
    </r>
    <r>
      <rPr>
        <b/>
        <i/>
        <sz val="10"/>
        <rFont val="Times New Roman"/>
        <family val="1"/>
      </rPr>
      <t>Laste huvialamajad ja keskused</t>
    </r>
  </si>
  <si>
    <r>
      <t xml:space="preserve">   </t>
    </r>
    <r>
      <rPr>
        <b/>
        <i/>
        <sz val="10"/>
        <rFont val="Times New Roman"/>
        <family val="1"/>
      </rPr>
      <t xml:space="preserve">Kirjastused - </t>
    </r>
    <r>
      <rPr>
        <sz val="10"/>
        <rFont val="Times New Roman"/>
        <family val="1"/>
      </rPr>
      <t>Eesti Kirjanike Liidu Tartu osakonnale Tartu Kirjanduse Maja (Vanemuise 19) välistrepi remondiks</t>
    </r>
  </si>
  <si>
    <r>
      <t xml:space="preserve"> Põhikoolid (09212) </t>
    </r>
    <r>
      <rPr>
        <sz val="10"/>
        <rFont val="Times New Roman"/>
        <family val="1"/>
      </rPr>
      <t>- 
põhikoolide rekonstrueerimine, sh</t>
    </r>
  </si>
  <si>
    <r>
      <t xml:space="preserve">    Gümnaasiumid (09213)</t>
    </r>
    <r>
      <rPr>
        <sz val="10"/>
        <color indexed="8"/>
        <rFont val="Times New Roman"/>
        <family val="1"/>
      </rPr>
      <t xml:space="preserve"> </t>
    </r>
  </si>
  <si>
    <r>
      <t xml:space="preserve">   Põhi- ja üldkeskhariduse kaudsed kulud </t>
    </r>
    <r>
      <rPr>
        <b/>
        <sz val="10"/>
        <color indexed="8"/>
        <rFont val="Times New Roman"/>
        <family val="1"/>
      </rPr>
      <t xml:space="preserve">(täistsükli koolid (09220)) </t>
    </r>
  </si>
  <si>
    <r>
      <t xml:space="preserve"> </t>
    </r>
    <r>
      <rPr>
        <sz val="10"/>
        <color indexed="8"/>
        <rFont val="Times New Roman"/>
        <family val="1"/>
      </rPr>
      <t>Annelinna Gümnaasium (Kaunase pst 68)</t>
    </r>
  </si>
  <si>
    <r>
      <t xml:space="preserve">   </t>
    </r>
    <r>
      <rPr>
        <b/>
        <i/>
        <sz val="10"/>
        <rFont val="Times New Roman"/>
        <family val="1"/>
      </rPr>
      <t>Kutseõppeasutused (09222)</t>
    </r>
    <r>
      <rPr>
        <b/>
        <sz val="10"/>
        <rFont val="Times New Roman"/>
        <family val="1"/>
      </rPr>
      <t xml:space="preserve"> - Kutsehariduskeskus</t>
    </r>
  </si>
  <si>
    <r>
      <t xml:space="preserve">    Taseme alusel mittemääratletav haridus </t>
    </r>
    <r>
      <rPr>
        <sz val="10"/>
        <color indexed="8"/>
        <rFont val="Times New Roman"/>
        <family val="1"/>
      </rPr>
      <t>- 
Kutsehariduskeskuse õppeotstarbeliste seadmete soetamine</t>
    </r>
  </si>
  <si>
    <r>
      <t xml:space="preserve">   </t>
    </r>
    <r>
      <rPr>
        <b/>
        <i/>
        <sz val="10"/>
        <rFont val="Times New Roman"/>
        <family val="1"/>
      </rPr>
      <t>Muu puuetega inimeste sotsiaalne kaitse</t>
    </r>
    <r>
      <rPr>
        <sz val="10"/>
        <rFont val="Times New Roman"/>
        <family val="1"/>
      </rPr>
      <t xml:space="preserve"> - 
Puuetega Inimeste Koja ruumide (Rahu 8) remont</t>
    </r>
  </si>
  <si>
    <r>
      <t xml:space="preserve"> </t>
    </r>
    <r>
      <rPr>
        <sz val="10"/>
        <rFont val="Times New Roman"/>
        <family val="1"/>
      </rPr>
      <t xml:space="preserve">
Puuetega Inimeste Koja ruumide (Rahu 8) remont</t>
    </r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</si>
</sst>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%"/>
    <numFmt numFmtId="167" formatCode="_(* #,##0.00_);_(* \(#,##0.00\);_(* &quot;-&quot;??_);_(@_)"/>
    <numFmt numFmtId="168" formatCode="\ #,##0.00&quot;     &quot;;\-#,##0.00&quot;     &quot;;&quot; -&quot;#&quot;     &quot;;@\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0"/>
      <color indexed="8"/>
      <name val="Times New Roman"/>
      <family val="1"/>
    </font>
    <font>
      <sz val="11"/>
      <color indexed="62"/>
      <name val="Times New Roman"/>
      <family val="1"/>
    </font>
    <font>
      <b/>
      <sz val="9"/>
      <color indexed="62"/>
      <name val="Times New Roman"/>
      <family val="1"/>
    </font>
    <font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12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4" tint="-0.24997000396251678"/>
      <name val="Times New Roman"/>
      <family val="1"/>
    </font>
    <font>
      <b/>
      <sz val="9"/>
      <color theme="4" tint="-0.24997000396251678"/>
      <name val="Times New Roman"/>
      <family val="1"/>
    </font>
    <font>
      <sz val="12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i/>
      <sz val="10"/>
      <color theme="4" tint="-0.24997000396251678"/>
      <name val="Times New Roman"/>
      <family val="1"/>
    </font>
    <font>
      <i/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ED2D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>
        <color indexed="63"/>
      </right>
      <top>
        <color indexed="63"/>
      </top>
      <bottom style="hair"/>
    </border>
    <border>
      <left style="hair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 style="thin"/>
    </border>
    <border>
      <left style="hair"/>
      <right/>
      <top style="hair"/>
      <bottom/>
    </border>
    <border>
      <left style="hair"/>
      <right style="hair"/>
      <top style="thin"/>
      <bottom style="thin"/>
    </border>
    <border>
      <left style="hair"/>
      <right/>
      <top style="thin"/>
      <bottom/>
    </border>
  </borders>
  <cellStyleXfs count="6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1" fillId="52" borderId="1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53" borderId="2" applyNumberFormat="0" applyAlignment="0" applyProtection="0"/>
    <xf numFmtId="0" fontId="18" fillId="53" borderId="2" applyNumberFormat="0" applyAlignment="0" applyProtection="0"/>
    <xf numFmtId="0" fontId="23" fillId="54" borderId="3" applyNumberFormat="0" applyAlignment="0" applyProtection="0"/>
    <xf numFmtId="0" fontId="23" fillId="54" borderId="3" applyNumberFormat="0" applyAlignment="0" applyProtection="0"/>
    <xf numFmtId="167" fontId="7" fillId="0" borderId="0" applyFont="0" applyFill="0" applyBorder="0" applyAlignment="0" applyProtection="0"/>
    <xf numFmtId="168" fontId="3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2" fillId="55" borderId="0" applyNumberFormat="0" applyBorder="0" applyAlignment="0" applyProtection="0"/>
    <xf numFmtId="0" fontId="53" fillId="56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57" borderId="8" applyNumberFormat="0" applyAlignment="0" applyProtection="0"/>
    <xf numFmtId="0" fontId="57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58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61" borderId="12" applyNumberFormat="0" applyAlignment="0" applyProtection="0"/>
    <xf numFmtId="0" fontId="7" fillId="61" borderId="12" applyNumberFormat="0" applyAlignment="0" applyProtection="0"/>
    <xf numFmtId="0" fontId="32" fillId="53" borderId="13" applyNumberFormat="0" applyAlignment="0" applyProtection="0"/>
    <xf numFmtId="0" fontId="32" fillId="53" borderId="13" applyNumberFormat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68" borderId="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52" borderId="18" applyNumberFormat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72" borderId="0" applyNumberFormat="0" applyBorder="0" applyAlignment="0" applyProtection="0"/>
    <xf numFmtId="0" fontId="31" fillId="19" borderId="2" applyNumberFormat="0" applyAlignment="0" applyProtection="0"/>
    <xf numFmtId="0" fontId="32" fillId="73" borderId="13" applyNumberFormat="0" applyAlignment="0" applyProtection="0"/>
    <xf numFmtId="0" fontId="18" fillId="73" borderId="2" applyNumberFormat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74" borderId="3" applyNumberFormat="0" applyAlignment="0" applyProtection="0"/>
    <xf numFmtId="0" fontId="26" fillId="0" borderId="0" applyNumberFormat="0" applyFill="0" applyBorder="0" applyAlignment="0" applyProtection="0"/>
    <xf numFmtId="0" fontId="25" fillId="75" borderId="0" applyNumberFormat="0" applyBorder="0" applyAlignment="0" applyProtection="0"/>
    <xf numFmtId="0" fontId="1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76" borderId="12" applyNumberFormat="0" applyFont="0" applyAlignment="0" applyProtection="0"/>
    <xf numFmtId="0" fontId="24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0" fillId="16" borderId="0" applyNumberFormat="0" applyBorder="0" applyAlignment="0" applyProtection="0"/>
  </cellStyleXfs>
  <cellXfs count="478">
    <xf numFmtId="0" fontId="0" fillId="0" borderId="0" xfId="0" applyFont="1" applyAlignment="1">
      <alignment/>
    </xf>
    <xf numFmtId="0" fontId="6" fillId="0" borderId="0" xfId="585" applyFont="1" applyAlignment="1">
      <alignment vertical="center"/>
      <protection/>
    </xf>
    <xf numFmtId="0" fontId="11" fillId="0" borderId="0" xfId="625" applyFont="1" applyFill="1" applyBorder="1" applyAlignment="1">
      <alignment horizontal="left" vertical="center"/>
      <protection/>
    </xf>
    <xf numFmtId="0" fontId="5" fillId="0" borderId="0" xfId="625" applyFont="1" applyFill="1" applyBorder="1" applyAlignment="1">
      <alignment horizontal="left" vertical="center"/>
      <protection/>
    </xf>
    <xf numFmtId="0" fontId="11" fillId="77" borderId="0" xfId="625" applyFont="1" applyFill="1" applyBorder="1" applyAlignment="1">
      <alignment horizontal="left" vertical="center"/>
      <protection/>
    </xf>
    <xf numFmtId="0" fontId="6" fillId="77" borderId="0" xfId="625" applyFont="1" applyFill="1" applyBorder="1" applyAlignment="1">
      <alignment horizontal="left" vertical="center"/>
      <protection/>
    </xf>
    <xf numFmtId="0" fontId="11" fillId="0" borderId="0" xfId="585" applyFont="1" applyFill="1" applyBorder="1" applyAlignment="1">
      <alignment horizontal="left" vertical="center"/>
      <protection/>
    </xf>
    <xf numFmtId="49" fontId="11" fillId="77" borderId="0" xfId="625" applyNumberFormat="1" applyFont="1" applyFill="1" applyBorder="1" applyAlignment="1">
      <alignment horizontal="left" vertical="center"/>
      <protection/>
    </xf>
    <xf numFmtId="0" fontId="5" fillId="58" borderId="0" xfId="625" applyFont="1" applyFill="1" applyBorder="1" applyAlignment="1">
      <alignment horizontal="left" vertical="center"/>
      <protection/>
    </xf>
    <xf numFmtId="3" fontId="16" fillId="58" borderId="0" xfId="585" applyNumberFormat="1" applyFont="1" applyFill="1" applyBorder="1" applyAlignment="1" applyProtection="1">
      <alignment vertical="center"/>
      <protection/>
    </xf>
    <xf numFmtId="3" fontId="14" fillId="78" borderId="0" xfId="625" applyNumberFormat="1" applyFont="1" applyFill="1" applyBorder="1" applyAlignment="1" applyProtection="1">
      <alignment vertical="center"/>
      <protection/>
    </xf>
    <xf numFmtId="0" fontId="7" fillId="0" borderId="0" xfId="562">
      <alignment/>
      <protection/>
    </xf>
    <xf numFmtId="0" fontId="2" fillId="0" borderId="0" xfId="562" applyFont="1" applyFill="1" applyBorder="1">
      <alignment/>
      <protection/>
    </xf>
    <xf numFmtId="0" fontId="2" fillId="0" borderId="0" xfId="562" applyFont="1" applyFill="1" applyAlignment="1">
      <alignment horizontal="center"/>
      <protection/>
    </xf>
    <xf numFmtId="0" fontId="66" fillId="0" borderId="0" xfId="562" applyFont="1" applyFill="1">
      <alignment/>
      <protection/>
    </xf>
    <xf numFmtId="0" fontId="2" fillId="0" borderId="0" xfId="562" applyFont="1" applyFill="1">
      <alignment/>
      <protection/>
    </xf>
    <xf numFmtId="1" fontId="2" fillId="0" borderId="0" xfId="562" applyNumberFormat="1" applyFont="1" applyFill="1" applyAlignment="1">
      <alignment horizontal="center"/>
      <protection/>
    </xf>
    <xf numFmtId="0" fontId="3" fillId="0" borderId="0" xfId="562" applyFont="1" applyFill="1" applyBorder="1" applyAlignment="1">
      <alignment wrapText="1"/>
      <protection/>
    </xf>
    <xf numFmtId="0" fontId="5" fillId="0" borderId="0" xfId="562" applyFont="1" applyFill="1" applyBorder="1" applyAlignment="1">
      <alignment horizontal="center" wrapText="1"/>
      <protection/>
    </xf>
    <xf numFmtId="3" fontId="67" fillId="0" borderId="0" xfId="562" applyNumberFormat="1" applyFont="1" applyFill="1" applyBorder="1">
      <alignment/>
      <protection/>
    </xf>
    <xf numFmtId="1" fontId="12" fillId="0" borderId="0" xfId="562" applyNumberFormat="1" applyFont="1" applyBorder="1" applyAlignment="1">
      <alignment horizontal="right" vertical="center"/>
      <protection/>
    </xf>
    <xf numFmtId="0" fontId="2" fillId="0" borderId="0" xfId="562" applyFont="1" applyFill="1" applyBorder="1" applyAlignment="1">
      <alignment vertical="center"/>
      <protection/>
    </xf>
    <xf numFmtId="0" fontId="2" fillId="0" borderId="19" xfId="562" applyFont="1" applyFill="1" applyBorder="1" applyAlignment="1">
      <alignment vertical="center"/>
      <protection/>
    </xf>
    <xf numFmtId="0" fontId="2" fillId="0" borderId="20" xfId="562" applyFont="1" applyFill="1" applyBorder="1" applyAlignment="1">
      <alignment vertical="center"/>
      <protection/>
    </xf>
    <xf numFmtId="0" fontId="66" fillId="0" borderId="0" xfId="562" applyFont="1" applyFill="1" applyAlignment="1">
      <alignment vertical="center"/>
      <protection/>
    </xf>
    <xf numFmtId="0" fontId="2" fillId="0" borderId="0" xfId="562" applyFont="1" applyFill="1" applyAlignment="1">
      <alignment vertical="center"/>
      <protection/>
    </xf>
    <xf numFmtId="0" fontId="2" fillId="0" borderId="20" xfId="562" applyFont="1" applyFill="1" applyBorder="1">
      <alignment/>
      <protection/>
    </xf>
    <xf numFmtId="0" fontId="2" fillId="0" borderId="21" xfId="562" applyFont="1" applyFill="1" applyBorder="1" applyAlignment="1">
      <alignment vertical="center"/>
      <protection/>
    </xf>
    <xf numFmtId="0" fontId="2" fillId="0" borderId="22" xfId="562" applyFont="1" applyFill="1" applyBorder="1" applyAlignment="1">
      <alignment vertical="center"/>
      <protection/>
    </xf>
    <xf numFmtId="0" fontId="33" fillId="0" borderId="0" xfId="562" applyFont="1" applyFill="1" applyBorder="1" applyAlignment="1">
      <alignment vertical="center"/>
      <protection/>
    </xf>
    <xf numFmtId="0" fontId="68" fillId="0" borderId="0" xfId="562" applyFont="1" applyFill="1" applyAlignment="1">
      <alignment vertical="center"/>
      <protection/>
    </xf>
    <xf numFmtId="0" fontId="33" fillId="0" borderId="0" xfId="562" applyFont="1" applyFill="1" applyAlignment="1">
      <alignment vertical="center"/>
      <protection/>
    </xf>
    <xf numFmtId="0" fontId="2" fillId="0" borderId="23" xfId="562" applyFont="1" applyFill="1" applyBorder="1" applyAlignment="1">
      <alignment vertical="center"/>
      <protection/>
    </xf>
    <xf numFmtId="0" fontId="2" fillId="0" borderId="0" xfId="562" applyFont="1" applyFill="1" applyBorder="1" applyAlignment="1">
      <alignment/>
      <protection/>
    </xf>
    <xf numFmtId="0" fontId="66" fillId="0" borderId="0" xfId="562" applyFont="1" applyFill="1" applyBorder="1">
      <alignment/>
      <protection/>
    </xf>
    <xf numFmtId="0" fontId="2" fillId="0" borderId="20" xfId="562" applyFont="1" applyFill="1" applyBorder="1" applyAlignment="1">
      <alignment/>
      <protection/>
    </xf>
    <xf numFmtId="0" fontId="66" fillId="0" borderId="0" xfId="562" applyFont="1" applyFill="1" applyBorder="1" applyAlignment="1">
      <alignment/>
      <protection/>
    </xf>
    <xf numFmtId="0" fontId="66" fillId="0" borderId="0" xfId="562" applyFont="1" applyFill="1" applyAlignment="1">
      <alignment/>
      <protection/>
    </xf>
    <xf numFmtId="0" fontId="2" fillId="0" borderId="0" xfId="562" applyFont="1" applyFill="1" applyAlignment="1">
      <alignment/>
      <protection/>
    </xf>
    <xf numFmtId="0" fontId="2" fillId="0" borderId="21" xfId="562" applyFont="1" applyFill="1" applyBorder="1">
      <alignment/>
      <protection/>
    </xf>
    <xf numFmtId="0" fontId="2" fillId="0" borderId="22" xfId="562" applyFont="1" applyFill="1" applyBorder="1">
      <alignment/>
      <protection/>
    </xf>
    <xf numFmtId="0" fontId="66" fillId="0" borderId="0" xfId="562" applyFont="1" applyFill="1" applyBorder="1" applyAlignment="1">
      <alignment vertical="center"/>
      <protection/>
    </xf>
    <xf numFmtId="0" fontId="3" fillId="0" borderId="0" xfId="562" applyFont="1" applyFill="1" applyBorder="1" applyAlignment="1">
      <alignment vertical="center"/>
      <protection/>
    </xf>
    <xf numFmtId="0" fontId="3" fillId="0" borderId="20" xfId="562" applyFont="1" applyFill="1" applyBorder="1" applyAlignment="1">
      <alignment vertical="center"/>
      <protection/>
    </xf>
    <xf numFmtId="0" fontId="69" fillId="0" borderId="0" xfId="562" applyFont="1" applyFill="1" applyBorder="1" applyAlignment="1">
      <alignment vertical="center"/>
      <protection/>
    </xf>
    <xf numFmtId="0" fontId="12" fillId="0" borderId="0" xfId="562" applyFont="1" applyFill="1" applyBorder="1">
      <alignment/>
      <protection/>
    </xf>
    <xf numFmtId="49" fontId="12" fillId="0" borderId="24" xfId="562" applyNumberFormat="1" applyFont="1" applyFill="1" applyBorder="1" applyAlignment="1">
      <alignment horizontal="right" wrapText="1"/>
      <protection/>
    </xf>
    <xf numFmtId="3" fontId="12" fillId="0" borderId="25" xfId="562" applyNumberFormat="1" applyFont="1" applyFill="1" applyBorder="1">
      <alignment/>
      <protection/>
    </xf>
    <xf numFmtId="0" fontId="12" fillId="0" borderId="20" xfId="562" applyFont="1" applyFill="1" applyBorder="1">
      <alignment/>
      <protection/>
    </xf>
    <xf numFmtId="0" fontId="70" fillId="0" borderId="0" xfId="562" applyFont="1" applyFill="1">
      <alignment/>
      <protection/>
    </xf>
    <xf numFmtId="0" fontId="12" fillId="0" borderId="0" xfId="562" applyFont="1" applyFill="1">
      <alignment/>
      <protection/>
    </xf>
    <xf numFmtId="0" fontId="2" fillId="0" borderId="19" xfId="562" applyFont="1" applyFill="1" applyBorder="1" applyAlignment="1">
      <alignment/>
      <protection/>
    </xf>
    <xf numFmtId="0" fontId="2" fillId="0" borderId="23" xfId="562" applyFont="1" applyFill="1" applyBorder="1" applyAlignment="1">
      <alignment/>
      <protection/>
    </xf>
    <xf numFmtId="49" fontId="12" fillId="0" borderId="25" xfId="562" applyNumberFormat="1" applyFont="1" applyFill="1" applyBorder="1" applyAlignment="1">
      <alignment horizontal="center" wrapText="1"/>
      <protection/>
    </xf>
    <xf numFmtId="49" fontId="12" fillId="0" borderId="26" xfId="562" applyNumberFormat="1" applyFont="1" applyFill="1" applyBorder="1" applyAlignment="1">
      <alignment horizontal="right" wrapText="1"/>
      <protection/>
    </xf>
    <xf numFmtId="49" fontId="12" fillId="0" borderId="27" xfId="562" applyNumberFormat="1" applyFont="1" applyFill="1" applyBorder="1" applyAlignment="1">
      <alignment horizontal="center" wrapText="1"/>
      <protection/>
    </xf>
    <xf numFmtId="3" fontId="12" fillId="0" borderId="27" xfId="562" applyNumberFormat="1" applyFont="1" applyFill="1" applyBorder="1">
      <alignment/>
      <protection/>
    </xf>
    <xf numFmtId="0" fontId="12" fillId="0" borderId="0" xfId="562" applyFont="1" applyFill="1" applyBorder="1" applyAlignment="1">
      <alignment vertical="center"/>
      <protection/>
    </xf>
    <xf numFmtId="49" fontId="12" fillId="0" borderId="26" xfId="562" applyNumberFormat="1" applyFont="1" applyFill="1" applyBorder="1" applyAlignment="1">
      <alignment horizontal="right" vertical="center" wrapText="1"/>
      <protection/>
    </xf>
    <xf numFmtId="49" fontId="12" fillId="0" borderId="27" xfId="562" applyNumberFormat="1" applyFont="1" applyFill="1" applyBorder="1" applyAlignment="1">
      <alignment horizontal="center" vertical="center" wrapText="1"/>
      <protection/>
    </xf>
    <xf numFmtId="3" fontId="12" fillId="0" borderId="27" xfId="562" applyNumberFormat="1" applyFont="1" applyFill="1" applyBorder="1" applyAlignment="1">
      <alignment vertical="center"/>
      <protection/>
    </xf>
    <xf numFmtId="0" fontId="12" fillId="0" borderId="20" xfId="562" applyFont="1" applyFill="1" applyBorder="1" applyAlignment="1">
      <alignment vertical="center"/>
      <protection/>
    </xf>
    <xf numFmtId="0" fontId="70" fillId="0" borderId="0" xfId="562" applyFont="1" applyFill="1" applyAlignment="1">
      <alignment vertical="center"/>
      <protection/>
    </xf>
    <xf numFmtId="0" fontId="12" fillId="0" borderId="0" xfId="562" applyFont="1" applyFill="1" applyAlignment="1">
      <alignment vertical="center"/>
      <protection/>
    </xf>
    <xf numFmtId="0" fontId="12" fillId="0" borderId="24" xfId="562" applyFont="1" applyFill="1" applyBorder="1" applyAlignment="1">
      <alignment horizontal="right" wrapText="1"/>
      <protection/>
    </xf>
    <xf numFmtId="0" fontId="12" fillId="0" borderId="25" xfId="562" applyFont="1" applyFill="1" applyBorder="1" applyAlignment="1">
      <alignment horizontal="center" wrapText="1"/>
      <protection/>
    </xf>
    <xf numFmtId="0" fontId="70" fillId="0" borderId="0" xfId="562" applyFont="1" applyFill="1" applyBorder="1">
      <alignment/>
      <protection/>
    </xf>
    <xf numFmtId="0" fontId="12" fillId="8" borderId="24" xfId="562" applyFont="1" applyFill="1" applyBorder="1" applyAlignment="1">
      <alignment horizontal="right" wrapText="1"/>
      <protection/>
    </xf>
    <xf numFmtId="0" fontId="12" fillId="8" borderId="25" xfId="562" applyFont="1" applyFill="1" applyBorder="1" applyAlignment="1">
      <alignment horizontal="center" wrapText="1"/>
      <protection/>
    </xf>
    <xf numFmtId="3" fontId="12" fillId="8" borderId="25" xfId="562" applyNumberFormat="1" applyFont="1" applyFill="1" applyBorder="1">
      <alignment/>
      <protection/>
    </xf>
    <xf numFmtId="0" fontId="12" fillId="8" borderId="26" xfId="562" applyFont="1" applyFill="1" applyBorder="1" applyAlignment="1">
      <alignment horizontal="right" wrapText="1"/>
      <protection/>
    </xf>
    <xf numFmtId="0" fontId="12" fillId="8" borderId="27" xfId="562" applyFont="1" applyFill="1" applyBorder="1" applyAlignment="1">
      <alignment horizontal="center" wrapText="1"/>
      <protection/>
    </xf>
    <xf numFmtId="3" fontId="12" fillId="8" borderId="27" xfId="562" applyNumberFormat="1" applyFont="1" applyFill="1" applyBorder="1">
      <alignment/>
      <protection/>
    </xf>
    <xf numFmtId="0" fontId="12" fillId="0" borderId="27" xfId="562" applyFont="1" applyFill="1" applyBorder="1" applyAlignment="1">
      <alignment horizontal="center" wrapText="1"/>
      <protection/>
    </xf>
    <xf numFmtId="3" fontId="34" fillId="0" borderId="25" xfId="562" applyNumberFormat="1" applyFont="1" applyFill="1" applyBorder="1">
      <alignment/>
      <protection/>
    </xf>
    <xf numFmtId="3" fontId="71" fillId="0" borderId="25" xfId="562" applyNumberFormat="1" applyFont="1" applyFill="1" applyBorder="1">
      <alignment/>
      <protection/>
    </xf>
    <xf numFmtId="0" fontId="12" fillId="0" borderId="21" xfId="562" applyFont="1" applyFill="1" applyBorder="1">
      <alignment/>
      <protection/>
    </xf>
    <xf numFmtId="0" fontId="12" fillId="0" borderId="22" xfId="562" applyFont="1" applyFill="1" applyBorder="1">
      <alignment/>
      <protection/>
    </xf>
    <xf numFmtId="0" fontId="2" fillId="0" borderId="22" xfId="562" applyFont="1" applyFill="1" applyBorder="1" applyAlignment="1">
      <alignment vertical="center" wrapText="1"/>
      <protection/>
    </xf>
    <xf numFmtId="1" fontId="2" fillId="0" borderId="0" xfId="562" applyNumberFormat="1" applyFont="1" applyFill="1">
      <alignment/>
      <protection/>
    </xf>
    <xf numFmtId="0" fontId="2" fillId="0" borderId="0" xfId="562" applyFont="1" applyFill="1" applyAlignment="1">
      <alignment wrapText="1"/>
      <protection/>
    </xf>
    <xf numFmtId="0" fontId="5" fillId="0" borderId="0" xfId="562" applyFont="1" applyFill="1" applyAlignment="1">
      <alignment horizontal="center" wrapText="1"/>
      <protection/>
    </xf>
    <xf numFmtId="164" fontId="2" fillId="0" borderId="0" xfId="562" applyNumberFormat="1" applyFont="1" applyFill="1" applyBorder="1">
      <alignment/>
      <protection/>
    </xf>
    <xf numFmtId="3" fontId="16" fillId="0" borderId="0" xfId="625" applyNumberFormat="1" applyFont="1" applyFill="1" applyBorder="1" applyAlignment="1" applyProtection="1">
      <alignment vertical="center"/>
      <protection locked="0"/>
    </xf>
    <xf numFmtId="3" fontId="16" fillId="0" borderId="0" xfId="625" applyNumberFormat="1" applyFont="1" applyFill="1" applyBorder="1" applyAlignment="1" applyProtection="1">
      <alignment vertical="center"/>
      <protection/>
    </xf>
    <xf numFmtId="3" fontId="16" fillId="77" borderId="0" xfId="625" applyNumberFormat="1" applyFont="1" applyFill="1" applyBorder="1" applyAlignment="1" applyProtection="1">
      <alignment vertical="center"/>
      <protection locked="0"/>
    </xf>
    <xf numFmtId="3" fontId="11" fillId="0" borderId="0" xfId="625" applyNumberFormat="1" applyFont="1" applyFill="1" applyBorder="1" applyAlignment="1" applyProtection="1">
      <alignment vertical="center"/>
      <protection/>
    </xf>
    <xf numFmtId="3" fontId="2" fillId="0" borderId="0" xfId="562" applyNumberFormat="1" applyFont="1" applyFill="1" applyAlignment="1">
      <alignment vertical="center"/>
      <protection/>
    </xf>
    <xf numFmtId="3" fontId="2" fillId="0" borderId="0" xfId="562" applyNumberFormat="1" applyFont="1" applyFill="1">
      <alignment/>
      <protection/>
    </xf>
    <xf numFmtId="0" fontId="12" fillId="0" borderId="28" xfId="562" applyFont="1" applyFill="1" applyBorder="1" applyAlignment="1">
      <alignment horizontal="right" wrapText="1"/>
      <protection/>
    </xf>
    <xf numFmtId="0" fontId="12" fillId="0" borderId="29" xfId="562" applyFont="1" applyFill="1" applyBorder="1" applyAlignment="1">
      <alignment horizontal="center" wrapText="1"/>
      <protection/>
    </xf>
    <xf numFmtId="3" fontId="71" fillId="0" borderId="29" xfId="562" applyNumberFormat="1" applyFont="1" applyFill="1" applyBorder="1">
      <alignment/>
      <protection/>
    </xf>
    <xf numFmtId="0" fontId="6" fillId="0" borderId="0" xfId="562" applyFont="1" applyFill="1" applyBorder="1" applyAlignment="1">
      <alignment horizontal="right"/>
      <protection/>
    </xf>
    <xf numFmtId="3" fontId="71" fillId="8" borderId="25" xfId="562" applyNumberFormat="1" applyFont="1" applyFill="1" applyBorder="1">
      <alignment/>
      <protection/>
    </xf>
    <xf numFmtId="3" fontId="72" fillId="8" borderId="25" xfId="562" applyNumberFormat="1" applyFont="1" applyFill="1" applyBorder="1">
      <alignment/>
      <protection/>
    </xf>
    <xf numFmtId="0" fontId="3" fillId="0" borderId="0" xfId="585" applyFont="1" applyAlignment="1">
      <alignment vertical="center"/>
      <protection/>
    </xf>
    <xf numFmtId="0" fontId="9" fillId="0" borderId="0" xfId="585" applyFont="1" applyFill="1" applyAlignment="1" applyProtection="1">
      <alignment vertical="center"/>
      <protection locked="0"/>
    </xf>
    <xf numFmtId="0" fontId="6" fillId="0" borderId="0" xfId="585" applyFont="1" applyAlignment="1" applyProtection="1">
      <alignment vertical="center"/>
      <protection locked="0"/>
    </xf>
    <xf numFmtId="4" fontId="36" fillId="0" borderId="0" xfId="585" applyNumberFormat="1" applyFont="1" applyBorder="1" applyAlignment="1" applyProtection="1">
      <alignment vertical="center"/>
      <protection locked="0"/>
    </xf>
    <xf numFmtId="14" fontId="6" fillId="0" borderId="0" xfId="585" applyNumberFormat="1" applyFont="1" applyAlignment="1">
      <alignment vertical="center"/>
      <protection/>
    </xf>
    <xf numFmtId="3" fontId="11" fillId="0" borderId="0" xfId="562" applyNumberFormat="1" applyFont="1">
      <alignment/>
      <protection/>
    </xf>
    <xf numFmtId="9" fontId="11" fillId="0" borderId="0" xfId="562" applyNumberFormat="1" applyFont="1">
      <alignment/>
      <protection/>
    </xf>
    <xf numFmtId="0" fontId="2" fillId="0" borderId="30" xfId="562" applyFont="1" applyFill="1" applyBorder="1" applyAlignment="1">
      <alignment vertical="center"/>
      <protection/>
    </xf>
    <xf numFmtId="0" fontId="2" fillId="0" borderId="30" xfId="562" applyFont="1" applyFill="1" applyBorder="1">
      <alignment/>
      <protection/>
    </xf>
    <xf numFmtId="0" fontId="2" fillId="0" borderId="31" xfId="562" applyFont="1" applyFill="1" applyBorder="1" applyAlignment="1">
      <alignment vertical="center"/>
      <protection/>
    </xf>
    <xf numFmtId="0" fontId="2" fillId="0" borderId="32" xfId="562" applyFont="1" applyFill="1" applyBorder="1" applyAlignment="1">
      <alignment vertical="center"/>
      <protection/>
    </xf>
    <xf numFmtId="3" fontId="2" fillId="0" borderId="0" xfId="562" applyNumberFormat="1" applyFont="1" applyFill="1" applyBorder="1">
      <alignment/>
      <protection/>
    </xf>
    <xf numFmtId="0" fontId="2" fillId="0" borderId="30" xfId="562" applyFont="1" applyFill="1" applyBorder="1" applyAlignment="1">
      <alignment/>
      <protection/>
    </xf>
    <xf numFmtId="3" fontId="2" fillId="0" borderId="0" xfId="562" applyNumberFormat="1" applyFont="1" applyFill="1" applyAlignment="1">
      <alignment/>
      <protection/>
    </xf>
    <xf numFmtId="0" fontId="3" fillId="0" borderId="30" xfId="562" applyFont="1" applyFill="1" applyBorder="1" applyAlignment="1">
      <alignment vertical="center"/>
      <protection/>
    </xf>
    <xf numFmtId="0" fontId="12" fillId="0" borderId="30" xfId="562" applyFont="1" applyFill="1" applyBorder="1">
      <alignment/>
      <protection/>
    </xf>
    <xf numFmtId="3" fontId="12" fillId="0" borderId="0" xfId="562" applyNumberFormat="1" applyFont="1" applyFill="1">
      <alignment/>
      <protection/>
    </xf>
    <xf numFmtId="0" fontId="2" fillId="0" borderId="31" xfId="562" applyFont="1" applyFill="1" applyBorder="1">
      <alignment/>
      <protection/>
    </xf>
    <xf numFmtId="0" fontId="2" fillId="0" borderId="32" xfId="562" applyFont="1" applyFill="1" applyBorder="1" applyAlignment="1">
      <alignment/>
      <protection/>
    </xf>
    <xf numFmtId="0" fontId="12" fillId="0" borderId="30" xfId="562" applyFont="1" applyFill="1" applyBorder="1" applyAlignment="1">
      <alignment vertical="center"/>
      <protection/>
    </xf>
    <xf numFmtId="0" fontId="12" fillId="0" borderId="31" xfId="562" applyFont="1" applyFill="1" applyBorder="1">
      <alignment/>
      <protection/>
    </xf>
    <xf numFmtId="3" fontId="3" fillId="0" borderId="25" xfId="562" applyNumberFormat="1" applyFont="1" applyFill="1" applyBorder="1" applyAlignment="1">
      <alignment vertical="center"/>
      <protection/>
    </xf>
    <xf numFmtId="3" fontId="66" fillId="0" borderId="0" xfId="562" applyNumberFormat="1" applyFont="1" applyFill="1" applyBorder="1">
      <alignment/>
      <protection/>
    </xf>
    <xf numFmtId="3" fontId="66" fillId="0" borderId="0" xfId="562" applyNumberFormat="1" applyFont="1" applyFill="1">
      <alignment/>
      <protection/>
    </xf>
    <xf numFmtId="3" fontId="12" fillId="0" borderId="33" xfId="562" applyNumberFormat="1" applyFont="1" applyFill="1" applyBorder="1">
      <alignment/>
      <protection/>
    </xf>
    <xf numFmtId="3" fontId="12" fillId="0" borderId="34" xfId="562" applyNumberFormat="1" applyFont="1" applyFill="1" applyBorder="1">
      <alignment/>
      <protection/>
    </xf>
    <xf numFmtId="3" fontId="12" fillId="0" borderId="34" xfId="562" applyNumberFormat="1" applyFont="1" applyFill="1" applyBorder="1" applyAlignment="1">
      <alignment vertical="center"/>
      <protection/>
    </xf>
    <xf numFmtId="3" fontId="12" fillId="8" borderId="33" xfId="562" applyNumberFormat="1" applyFont="1" applyFill="1" applyBorder="1">
      <alignment/>
      <protection/>
    </xf>
    <xf numFmtId="3" fontId="12" fillId="8" borderId="34" xfId="562" applyNumberFormat="1" applyFont="1" applyFill="1" applyBorder="1">
      <alignment/>
      <protection/>
    </xf>
    <xf numFmtId="3" fontId="12" fillId="0" borderId="35" xfId="562" applyNumberFormat="1" applyFont="1" applyFill="1" applyBorder="1">
      <alignment/>
      <protection/>
    </xf>
    <xf numFmtId="166" fontId="7" fillId="0" borderId="0" xfId="562" applyNumberFormat="1">
      <alignment/>
      <protection/>
    </xf>
    <xf numFmtId="3" fontId="33" fillId="0" borderId="0" xfId="562" applyNumberFormat="1" applyFont="1" applyFill="1" applyAlignment="1">
      <alignment vertical="center"/>
      <protection/>
    </xf>
    <xf numFmtId="3" fontId="3" fillId="0" borderId="0" xfId="562" applyNumberFormat="1" applyFont="1" applyFill="1">
      <alignment/>
      <protection/>
    </xf>
    <xf numFmtId="0" fontId="3" fillId="0" borderId="0" xfId="562" applyFont="1" applyFill="1">
      <alignment/>
      <protection/>
    </xf>
    <xf numFmtId="3" fontId="2" fillId="0" borderId="0" xfId="562" applyNumberFormat="1" applyFont="1" applyFill="1" applyBorder="1" applyAlignment="1">
      <alignment vertical="center"/>
      <protection/>
    </xf>
    <xf numFmtId="49" fontId="11" fillId="0" borderId="0" xfId="625" applyNumberFormat="1" applyFont="1" applyFill="1" applyBorder="1" applyAlignment="1">
      <alignment horizontal="left" vertical="center"/>
      <protection/>
    </xf>
    <xf numFmtId="0" fontId="11" fillId="0" borderId="30" xfId="625" applyFont="1" applyFill="1" applyBorder="1" applyAlignment="1">
      <alignment horizontal="left" vertical="center"/>
      <protection/>
    </xf>
    <xf numFmtId="9" fontId="16" fillId="0" borderId="20" xfId="625" applyNumberFormat="1" applyFont="1" applyFill="1" applyBorder="1" applyAlignment="1" applyProtection="1">
      <alignment vertical="center"/>
      <protection locked="0"/>
    </xf>
    <xf numFmtId="0" fontId="5" fillId="0" borderId="30" xfId="625" applyFont="1" applyFill="1" applyBorder="1" applyAlignment="1">
      <alignment horizontal="left" vertical="center"/>
      <protection/>
    </xf>
    <xf numFmtId="9" fontId="16" fillId="0" borderId="20" xfId="625" applyNumberFormat="1" applyFont="1" applyFill="1" applyBorder="1" applyAlignment="1" applyProtection="1">
      <alignment horizontal="right" vertical="center"/>
      <protection locked="0"/>
    </xf>
    <xf numFmtId="0" fontId="11" fillId="77" borderId="30" xfId="625" applyFont="1" applyFill="1" applyBorder="1" applyAlignment="1">
      <alignment horizontal="left" vertical="center"/>
      <protection/>
    </xf>
    <xf numFmtId="9" fontId="16" fillId="77" borderId="20" xfId="625" applyNumberFormat="1" applyFont="1" applyFill="1" applyBorder="1" applyAlignment="1" applyProtection="1">
      <alignment vertical="center"/>
      <protection locked="0"/>
    </xf>
    <xf numFmtId="49" fontId="11" fillId="0" borderId="30" xfId="625" applyNumberFormat="1" applyFont="1" applyFill="1" applyBorder="1" applyAlignment="1">
      <alignment horizontal="left" vertical="center"/>
      <protection/>
    </xf>
    <xf numFmtId="0" fontId="11" fillId="0" borderId="30" xfId="585" applyFont="1" applyFill="1" applyBorder="1" applyAlignment="1">
      <alignment horizontal="left" vertical="center"/>
      <protection/>
    </xf>
    <xf numFmtId="49" fontId="11" fillId="77" borderId="30" xfId="625" applyNumberFormat="1" applyFont="1" applyFill="1" applyBorder="1" applyAlignment="1">
      <alignment horizontal="left" vertical="center"/>
      <protection/>
    </xf>
    <xf numFmtId="9" fontId="16" fillId="77" borderId="20" xfId="625" applyNumberFormat="1" applyFont="1" applyFill="1" applyBorder="1" applyAlignment="1" applyProtection="1">
      <alignment horizontal="right" vertical="center"/>
      <protection locked="0"/>
    </xf>
    <xf numFmtId="49" fontId="11" fillId="58" borderId="30" xfId="625" applyNumberFormat="1" applyFont="1" applyFill="1" applyBorder="1" applyAlignment="1">
      <alignment horizontal="left" vertical="center"/>
      <protection/>
    </xf>
    <xf numFmtId="9" fontId="16" fillId="58" borderId="20" xfId="585" applyNumberFormat="1" applyFont="1" applyFill="1" applyBorder="1" applyAlignment="1" applyProtection="1">
      <alignment vertical="center"/>
      <protection/>
    </xf>
    <xf numFmtId="0" fontId="11" fillId="78" borderId="30" xfId="585" applyFont="1" applyFill="1" applyBorder="1" applyAlignment="1">
      <alignment horizontal="left" vertical="center"/>
      <protection/>
    </xf>
    <xf numFmtId="9" fontId="14" fillId="78" borderId="20" xfId="625" applyNumberFormat="1" applyFont="1" applyFill="1" applyBorder="1" applyAlignment="1" applyProtection="1">
      <alignment vertical="center"/>
      <protection/>
    </xf>
    <xf numFmtId="9" fontId="16" fillId="58" borderId="20" xfId="585" applyNumberFormat="1" applyFont="1" applyFill="1" applyBorder="1" applyAlignment="1" applyProtection="1">
      <alignment horizontal="right" vertical="center"/>
      <protection/>
    </xf>
    <xf numFmtId="49" fontId="11" fillId="58" borderId="31" xfId="625" applyNumberFormat="1" applyFont="1" applyFill="1" applyBorder="1" applyAlignment="1">
      <alignment horizontal="left" vertical="center"/>
      <protection/>
    </xf>
    <xf numFmtId="0" fontId="5" fillId="58" borderId="21" xfId="625" applyFont="1" applyFill="1" applyBorder="1" applyAlignment="1">
      <alignment horizontal="left" vertical="center"/>
      <protection/>
    </xf>
    <xf numFmtId="3" fontId="16" fillId="58" borderId="21" xfId="585" applyNumberFormat="1" applyFont="1" applyFill="1" applyBorder="1" applyAlignment="1" applyProtection="1">
      <alignment vertical="center"/>
      <protection/>
    </xf>
    <xf numFmtId="9" fontId="16" fillId="58" borderId="22" xfId="585" applyNumberFormat="1" applyFont="1" applyFill="1" applyBorder="1" applyAlignment="1" applyProtection="1">
      <alignment vertical="center"/>
      <protection/>
    </xf>
    <xf numFmtId="0" fontId="13" fillId="0" borderId="30" xfId="585" applyFont="1" applyBorder="1" applyAlignment="1">
      <alignment horizontal="left" vertical="center"/>
      <protection/>
    </xf>
    <xf numFmtId="0" fontId="11" fillId="0" borderId="0" xfId="585" applyFont="1" applyBorder="1" applyAlignment="1">
      <alignment vertical="center"/>
      <protection/>
    </xf>
    <xf numFmtId="0" fontId="14" fillId="79" borderId="36" xfId="625" applyFont="1" applyFill="1" applyBorder="1" applyAlignment="1">
      <alignment horizontal="left" vertical="center"/>
      <protection/>
    </xf>
    <xf numFmtId="3" fontId="16" fillId="0" borderId="30" xfId="625" applyNumberFormat="1" applyFont="1" applyFill="1" applyBorder="1" applyAlignment="1" applyProtection="1">
      <alignment vertical="center"/>
      <protection locked="0"/>
    </xf>
    <xf numFmtId="3" fontId="16" fillId="0" borderId="30" xfId="625" applyNumberFormat="1" applyFont="1" applyFill="1" applyBorder="1" applyAlignment="1" applyProtection="1">
      <alignment vertical="center"/>
      <protection/>
    </xf>
    <xf numFmtId="3" fontId="16" fillId="77" borderId="30" xfId="625" applyNumberFormat="1" applyFont="1" applyFill="1" applyBorder="1" applyAlignment="1" applyProtection="1">
      <alignment vertical="center"/>
      <protection locked="0"/>
    </xf>
    <xf numFmtId="3" fontId="15" fillId="78" borderId="30" xfId="625" applyNumberFormat="1" applyFont="1" applyFill="1" applyBorder="1" applyAlignment="1" applyProtection="1">
      <alignment vertical="center"/>
      <protection/>
    </xf>
    <xf numFmtId="3" fontId="16" fillId="58" borderId="30" xfId="585" applyNumberFormat="1" applyFont="1" applyFill="1" applyBorder="1" applyAlignment="1" applyProtection="1">
      <alignment vertical="center"/>
      <protection/>
    </xf>
    <xf numFmtId="3" fontId="16" fillId="58" borderId="31" xfId="585" applyNumberFormat="1" applyFont="1" applyFill="1" applyBorder="1" applyAlignment="1" applyProtection="1">
      <alignment vertical="center"/>
      <protection/>
    </xf>
    <xf numFmtId="9" fontId="14" fillId="79" borderId="37" xfId="585" applyNumberFormat="1" applyFont="1" applyFill="1" applyBorder="1" applyAlignment="1">
      <alignment vertical="center"/>
      <protection/>
    </xf>
    <xf numFmtId="0" fontId="14" fillId="80" borderId="38" xfId="585" applyFont="1" applyFill="1" applyBorder="1" applyAlignment="1">
      <alignment horizontal="left" vertical="center"/>
      <protection/>
    </xf>
    <xf numFmtId="0" fontId="14" fillId="80" borderId="36" xfId="585" applyFont="1" applyFill="1" applyBorder="1" applyAlignment="1">
      <alignment horizontal="left" vertical="center"/>
      <protection/>
    </xf>
    <xf numFmtId="3" fontId="14" fillId="80" borderId="38" xfId="585" applyNumberFormat="1" applyFont="1" applyFill="1" applyBorder="1" applyAlignment="1">
      <alignment vertical="center"/>
      <protection/>
    </xf>
    <xf numFmtId="9" fontId="14" fillId="80" borderId="37" xfId="585" applyNumberFormat="1" applyFont="1" applyFill="1" applyBorder="1" applyAlignment="1">
      <alignment vertical="center"/>
      <protection/>
    </xf>
    <xf numFmtId="3" fontId="14" fillId="80" borderId="36" xfId="585" applyNumberFormat="1" applyFont="1" applyFill="1" applyBorder="1" applyAlignment="1">
      <alignment vertical="center"/>
      <protection/>
    </xf>
    <xf numFmtId="0" fontId="14" fillId="79" borderId="38" xfId="585" applyFont="1" applyFill="1" applyBorder="1" applyAlignment="1">
      <alignment horizontal="left" vertical="center"/>
      <protection/>
    </xf>
    <xf numFmtId="3" fontId="14" fillId="79" borderId="36" xfId="585" applyNumberFormat="1" applyFont="1" applyFill="1" applyBorder="1" applyAlignment="1">
      <alignment vertical="center"/>
      <protection/>
    </xf>
    <xf numFmtId="0" fontId="11" fillId="12" borderId="38" xfId="585" applyFont="1" applyFill="1" applyBorder="1" applyAlignment="1">
      <alignment horizontal="left" vertical="center"/>
      <protection/>
    </xf>
    <xf numFmtId="0" fontId="14" fillId="80" borderId="36" xfId="625" applyFont="1" applyFill="1" applyBorder="1" applyAlignment="1">
      <alignment horizontal="left" vertical="center"/>
      <protection/>
    </xf>
    <xf numFmtId="3" fontId="14" fillId="79" borderId="38" xfId="625" applyNumberFormat="1" applyFont="1" applyFill="1" applyBorder="1" applyAlignment="1">
      <alignment horizontal="right" vertical="center"/>
      <protection/>
    </xf>
    <xf numFmtId="3" fontId="14" fillId="79" borderId="36" xfId="625" applyNumberFormat="1" applyFont="1" applyFill="1" applyBorder="1" applyAlignment="1">
      <alignment horizontal="right" vertical="center"/>
      <protection/>
    </xf>
    <xf numFmtId="3" fontId="16" fillId="0" borderId="0" xfId="585" applyNumberFormat="1" applyFont="1" applyFill="1" applyBorder="1" applyAlignment="1">
      <alignment vertical="center"/>
      <protection/>
    </xf>
    <xf numFmtId="0" fontId="5" fillId="58" borderId="20" xfId="625" applyFont="1" applyFill="1" applyBorder="1" applyAlignment="1">
      <alignment vertical="center"/>
      <protection/>
    </xf>
    <xf numFmtId="0" fontId="7" fillId="0" borderId="0" xfId="562" applyBorder="1">
      <alignment/>
      <protection/>
    </xf>
    <xf numFmtId="9" fontId="16" fillId="0" borderId="22" xfId="625" applyNumberFormat="1" applyFont="1" applyFill="1" applyBorder="1" applyAlignment="1" applyProtection="1">
      <alignment vertical="center"/>
      <protection locked="0"/>
    </xf>
    <xf numFmtId="3" fontId="16" fillId="0" borderId="21" xfId="625" applyNumberFormat="1" applyFont="1" applyFill="1" applyBorder="1" applyAlignment="1" applyProtection="1">
      <alignment vertical="center"/>
      <protection/>
    </xf>
    <xf numFmtId="0" fontId="9" fillId="0" borderId="0" xfId="585" applyFont="1" applyBorder="1" applyAlignment="1">
      <alignment horizontal="center" vertical="center"/>
      <protection/>
    </xf>
    <xf numFmtId="0" fontId="9" fillId="0" borderId="20" xfId="585" applyFont="1" applyBorder="1" applyAlignment="1">
      <alignment horizontal="center" vertical="center"/>
      <protection/>
    </xf>
    <xf numFmtId="0" fontId="6" fillId="0" borderId="0" xfId="562" applyFont="1" applyFill="1" applyBorder="1">
      <alignment/>
      <protection/>
    </xf>
    <xf numFmtId="0" fontId="4" fillId="58" borderId="0" xfId="585" applyFont="1" applyFill="1" applyBorder="1" applyAlignment="1">
      <alignment horizontal="left" vertical="center"/>
      <protection/>
    </xf>
    <xf numFmtId="3" fontId="15" fillId="58" borderId="0" xfId="625" applyNumberFormat="1" applyFont="1" applyFill="1" applyBorder="1" applyAlignment="1" applyProtection="1">
      <alignment vertical="center"/>
      <protection/>
    </xf>
    <xf numFmtId="0" fontId="4" fillId="58" borderId="0" xfId="625" applyFont="1" applyFill="1" applyBorder="1" applyAlignment="1">
      <alignment horizontal="left" vertical="center"/>
      <protection/>
    </xf>
    <xf numFmtId="0" fontId="11" fillId="0" borderId="32" xfId="625" applyFont="1" applyFill="1" applyBorder="1" applyAlignment="1" applyProtection="1">
      <alignment horizontal="left" vertical="center"/>
      <protection locked="0"/>
    </xf>
    <xf numFmtId="0" fontId="12" fillId="0" borderId="19" xfId="625" applyFont="1" applyFill="1" applyBorder="1" applyAlignment="1" applyProtection="1">
      <alignment horizontal="right" vertical="center"/>
      <protection locked="0"/>
    </xf>
    <xf numFmtId="14" fontId="73" fillId="0" borderId="23" xfId="625" applyNumberFormat="1" applyFont="1" applyFill="1" applyBorder="1" applyAlignment="1" applyProtection="1">
      <alignment horizontal="left" vertical="center"/>
      <protection locked="0"/>
    </xf>
    <xf numFmtId="0" fontId="13" fillId="0" borderId="20" xfId="625" applyFont="1" applyFill="1" applyBorder="1" applyAlignment="1" applyProtection="1">
      <alignment horizontal="left" vertical="center"/>
      <protection locked="0"/>
    </xf>
    <xf numFmtId="0" fontId="4" fillId="58" borderId="30" xfId="585" applyFont="1" applyFill="1" applyBorder="1" applyAlignment="1">
      <alignment horizontal="left" vertical="center"/>
      <protection/>
    </xf>
    <xf numFmtId="0" fontId="14" fillId="58" borderId="20" xfId="625" applyFont="1" applyFill="1" applyBorder="1" applyAlignment="1">
      <alignment vertical="center"/>
      <protection/>
    </xf>
    <xf numFmtId="0" fontId="5" fillId="0" borderId="20" xfId="625" applyFont="1" applyFill="1" applyBorder="1" applyAlignment="1">
      <alignment vertical="center"/>
      <protection/>
    </xf>
    <xf numFmtId="0" fontId="5" fillId="0" borderId="20" xfId="585" applyFont="1" applyFill="1" applyBorder="1" applyAlignment="1">
      <alignment vertical="center"/>
      <protection/>
    </xf>
    <xf numFmtId="0" fontId="4" fillId="58" borderId="30" xfId="625" applyFont="1" applyFill="1" applyBorder="1" applyAlignment="1">
      <alignment horizontal="left" vertical="center"/>
      <protection/>
    </xf>
    <xf numFmtId="0" fontId="11" fillId="0" borderId="20" xfId="625" applyFont="1" applyFill="1" applyBorder="1" applyAlignment="1">
      <alignment vertical="center"/>
      <protection/>
    </xf>
    <xf numFmtId="0" fontId="5" fillId="77" borderId="20" xfId="625" applyFont="1" applyFill="1" applyBorder="1" applyAlignment="1">
      <alignment vertical="center"/>
      <protection/>
    </xf>
    <xf numFmtId="0" fontId="5" fillId="0" borderId="20" xfId="625" applyFont="1" applyFill="1" applyBorder="1" applyAlignment="1">
      <alignment horizontal="left" vertical="center"/>
      <protection/>
    </xf>
    <xf numFmtId="0" fontId="5" fillId="77" borderId="20" xfId="625" applyFont="1" applyFill="1" applyBorder="1" applyAlignment="1">
      <alignment horizontal="left" vertical="center"/>
      <protection/>
    </xf>
    <xf numFmtId="0" fontId="11" fillId="0" borderId="20" xfId="585" applyFont="1" applyFill="1" applyBorder="1" applyAlignment="1">
      <alignment vertical="center"/>
      <protection/>
    </xf>
    <xf numFmtId="0" fontId="5" fillId="58" borderId="20" xfId="585" applyFont="1" applyFill="1" applyBorder="1" applyAlignment="1">
      <alignment vertical="center"/>
      <protection/>
    </xf>
    <xf numFmtId="0" fontId="5" fillId="58" borderId="22" xfId="585" applyFont="1" applyFill="1" applyBorder="1" applyAlignment="1">
      <alignment vertical="center"/>
      <protection/>
    </xf>
    <xf numFmtId="3" fontId="15" fillId="58" borderId="30" xfId="625" applyNumberFormat="1" applyFont="1" applyFill="1" applyBorder="1" applyAlignment="1" applyProtection="1">
      <alignment vertical="center"/>
      <protection/>
    </xf>
    <xf numFmtId="9" fontId="15" fillId="58" borderId="20" xfId="625" applyNumberFormat="1" applyFont="1" applyFill="1" applyBorder="1" applyAlignment="1" applyProtection="1">
      <alignment vertical="center"/>
      <protection/>
    </xf>
    <xf numFmtId="9" fontId="14" fillId="58" borderId="20" xfId="625" applyNumberFormat="1" applyFont="1" applyFill="1" applyBorder="1" applyAlignment="1">
      <alignment vertical="center"/>
      <protection/>
    </xf>
    <xf numFmtId="3" fontId="11" fillId="0" borderId="30" xfId="585" applyNumberFormat="1" applyFont="1" applyFill="1" applyBorder="1" applyAlignment="1">
      <alignment vertical="center"/>
      <protection/>
    </xf>
    <xf numFmtId="9" fontId="11" fillId="0" borderId="20" xfId="625" applyNumberFormat="1" applyFont="1" applyFill="1" applyBorder="1" applyAlignment="1" applyProtection="1">
      <alignment vertical="center"/>
      <protection/>
    </xf>
    <xf numFmtId="0" fontId="9" fillId="0" borderId="32" xfId="585" applyFont="1" applyBorder="1" applyAlignment="1">
      <alignment horizontal="center" vertical="center"/>
      <protection/>
    </xf>
    <xf numFmtId="0" fontId="9" fillId="0" borderId="30" xfId="585" applyFont="1" applyBorder="1" applyAlignment="1">
      <alignment horizontal="center" vertical="center"/>
      <protection/>
    </xf>
    <xf numFmtId="3" fontId="16" fillId="11" borderId="30" xfId="625" applyNumberFormat="1" applyFont="1" applyFill="1" applyBorder="1" applyAlignment="1" applyProtection="1">
      <alignment vertical="center"/>
      <protection locked="0"/>
    </xf>
    <xf numFmtId="3" fontId="16" fillId="0" borderId="30" xfId="585" applyNumberFormat="1" applyFont="1" applyFill="1" applyBorder="1" applyAlignment="1">
      <alignment vertical="center"/>
      <protection/>
    </xf>
    <xf numFmtId="3" fontId="14" fillId="78" borderId="30" xfId="625" applyNumberFormat="1" applyFont="1" applyFill="1" applyBorder="1" applyAlignment="1" applyProtection="1">
      <alignment vertical="center"/>
      <protection/>
    </xf>
    <xf numFmtId="0" fontId="14" fillId="79" borderId="32" xfId="625" applyFont="1" applyFill="1" applyBorder="1" applyAlignment="1">
      <alignment horizontal="left" vertical="center"/>
      <protection/>
    </xf>
    <xf numFmtId="0" fontId="14" fillId="79" borderId="19" xfId="625" applyFont="1" applyFill="1" applyBorder="1" applyAlignment="1">
      <alignment horizontal="left" vertical="center"/>
      <protection/>
    </xf>
    <xf numFmtId="0" fontId="14" fillId="79" borderId="23" xfId="625" applyFont="1" applyFill="1" applyBorder="1" applyAlignment="1">
      <alignment vertical="center"/>
      <protection/>
    </xf>
    <xf numFmtId="3" fontId="15" fillId="79" borderId="32" xfId="625" applyNumberFormat="1" applyFont="1" applyFill="1" applyBorder="1" applyAlignment="1" applyProtection="1">
      <alignment vertical="center"/>
      <protection/>
    </xf>
    <xf numFmtId="3" fontId="15" fillId="79" borderId="19" xfId="625" applyNumberFormat="1" applyFont="1" applyFill="1" applyBorder="1" applyAlignment="1" applyProtection="1">
      <alignment vertical="center"/>
      <protection/>
    </xf>
    <xf numFmtId="9" fontId="15" fillId="79" borderId="23" xfId="625" applyNumberFormat="1" applyFont="1" applyFill="1" applyBorder="1" applyAlignment="1" applyProtection="1">
      <alignment vertical="center"/>
      <protection/>
    </xf>
    <xf numFmtId="0" fontId="11" fillId="0" borderId="31" xfId="625" applyFont="1" applyFill="1" applyBorder="1" applyAlignment="1">
      <alignment horizontal="left" vertical="center"/>
      <protection/>
    </xf>
    <xf numFmtId="0" fontId="11" fillId="0" borderId="21" xfId="625" applyFont="1" applyFill="1" applyBorder="1" applyAlignment="1">
      <alignment horizontal="left" vertical="center"/>
      <protection/>
    </xf>
    <xf numFmtId="0" fontId="5" fillId="0" borderId="22" xfId="625" applyFont="1" applyFill="1" applyBorder="1" applyAlignment="1">
      <alignment vertical="center"/>
      <protection/>
    </xf>
    <xf numFmtId="3" fontId="16" fillId="0" borderId="31" xfId="625" applyNumberFormat="1" applyFont="1" applyFill="1" applyBorder="1" applyAlignment="1" applyProtection="1">
      <alignment vertical="center"/>
      <protection/>
    </xf>
    <xf numFmtId="9" fontId="16" fillId="0" borderId="22" xfId="625" applyNumberFormat="1" applyFont="1" applyFill="1" applyBorder="1" applyAlignment="1" applyProtection="1">
      <alignment vertical="center"/>
      <protection/>
    </xf>
    <xf numFmtId="3" fontId="16" fillId="0" borderId="31" xfId="625" applyNumberFormat="1" applyFont="1" applyFill="1" applyBorder="1" applyAlignment="1" applyProtection="1">
      <alignment vertical="center"/>
      <protection locked="0"/>
    </xf>
    <xf numFmtId="9" fontId="14" fillId="79" borderId="23" xfId="585" applyNumberFormat="1" applyFont="1" applyFill="1" applyBorder="1" applyAlignment="1">
      <alignment vertical="center"/>
      <protection/>
    </xf>
    <xf numFmtId="3" fontId="16" fillId="0" borderId="21" xfId="625" applyNumberFormat="1" applyFont="1" applyFill="1" applyBorder="1" applyAlignment="1" applyProtection="1">
      <alignment vertical="center"/>
      <protection locked="0"/>
    </xf>
    <xf numFmtId="3" fontId="11" fillId="0" borderId="21" xfId="585" applyNumberFormat="1" applyFont="1" applyFill="1" applyBorder="1" applyAlignment="1">
      <alignment vertical="center"/>
      <protection/>
    </xf>
    <xf numFmtId="9" fontId="11" fillId="0" borderId="22" xfId="585" applyNumberFormat="1" applyFont="1" applyFill="1" applyBorder="1" applyAlignment="1">
      <alignment vertical="center"/>
      <protection/>
    </xf>
    <xf numFmtId="0" fontId="11" fillId="80" borderId="37" xfId="585" applyFont="1" applyFill="1" applyBorder="1" applyAlignment="1">
      <alignment vertical="center"/>
      <protection/>
    </xf>
    <xf numFmtId="0" fontId="14" fillId="79" borderId="32" xfId="585" applyFont="1" applyFill="1" applyBorder="1" applyAlignment="1">
      <alignment horizontal="left" vertical="center"/>
      <protection/>
    </xf>
    <xf numFmtId="0" fontId="14" fillId="79" borderId="19" xfId="585" applyFont="1" applyFill="1" applyBorder="1" applyAlignment="1">
      <alignment horizontal="left" vertical="center"/>
      <protection/>
    </xf>
    <xf numFmtId="0" fontId="11" fillId="79" borderId="23" xfId="585" applyFont="1" applyFill="1" applyBorder="1" applyAlignment="1">
      <alignment vertical="center"/>
      <protection/>
    </xf>
    <xf numFmtId="3" fontId="14" fillId="79" borderId="32" xfId="585" applyNumberFormat="1" applyFont="1" applyFill="1" applyBorder="1" applyAlignment="1">
      <alignment vertical="center"/>
      <protection/>
    </xf>
    <xf numFmtId="3" fontId="14" fillId="79" borderId="19" xfId="585" applyNumberFormat="1" applyFont="1" applyFill="1" applyBorder="1" applyAlignment="1">
      <alignment vertical="center"/>
      <protection/>
    </xf>
    <xf numFmtId="0" fontId="11" fillId="80" borderId="37" xfId="625" applyFont="1" applyFill="1" applyBorder="1" applyAlignment="1">
      <alignment vertical="center"/>
      <protection/>
    </xf>
    <xf numFmtId="0" fontId="11" fillId="79" borderId="32" xfId="585" applyFont="1" applyFill="1" applyBorder="1" applyAlignment="1">
      <alignment horizontal="left" vertical="center"/>
      <protection/>
    </xf>
    <xf numFmtId="49" fontId="11" fillId="77" borderId="31" xfId="625" applyNumberFormat="1" applyFont="1" applyFill="1" applyBorder="1" applyAlignment="1">
      <alignment horizontal="left" vertical="center"/>
      <protection/>
    </xf>
    <xf numFmtId="49" fontId="11" fillId="77" borderId="21" xfId="625" applyNumberFormat="1" applyFont="1" applyFill="1" applyBorder="1" applyAlignment="1">
      <alignment horizontal="left" vertical="center"/>
      <protection/>
    </xf>
    <xf numFmtId="0" fontId="5" fillId="77" borderId="22" xfId="625" applyFont="1" applyFill="1" applyBorder="1" applyAlignment="1">
      <alignment horizontal="left" vertical="center"/>
      <protection/>
    </xf>
    <xf numFmtId="3" fontId="16" fillId="77" borderId="31" xfId="625" applyNumberFormat="1" applyFont="1" applyFill="1" applyBorder="1" applyAlignment="1" applyProtection="1">
      <alignment vertical="center"/>
      <protection locked="0"/>
    </xf>
    <xf numFmtId="3" fontId="16" fillId="77" borderId="21" xfId="625" applyNumberFormat="1" applyFont="1" applyFill="1" applyBorder="1" applyAlignment="1" applyProtection="1">
      <alignment vertical="center"/>
      <protection locked="0"/>
    </xf>
    <xf numFmtId="9" fontId="16" fillId="77" borderId="22" xfId="625" applyNumberFormat="1" applyFont="1" applyFill="1" applyBorder="1" applyAlignment="1" applyProtection="1">
      <alignment vertical="center"/>
      <protection locked="0"/>
    </xf>
    <xf numFmtId="0" fontId="11" fillId="79" borderId="37" xfId="625" applyFont="1" applyFill="1" applyBorder="1" applyAlignment="1">
      <alignment vertical="center"/>
      <protection/>
    </xf>
    <xf numFmtId="0" fontId="4" fillId="78" borderId="0" xfId="625" applyFont="1" applyFill="1" applyBorder="1" applyAlignment="1">
      <alignment vertical="center" wrapText="1"/>
      <protection/>
    </xf>
    <xf numFmtId="0" fontId="5" fillId="78" borderId="20" xfId="585" applyFont="1" applyFill="1" applyBorder="1" applyAlignment="1">
      <alignment vertical="center" wrapText="1"/>
      <protection/>
    </xf>
    <xf numFmtId="0" fontId="10" fillId="0" borderId="39" xfId="585" applyFont="1" applyBorder="1" applyAlignment="1">
      <alignment horizontal="center" vertical="center" wrapText="1"/>
      <protection/>
    </xf>
    <xf numFmtId="0" fontId="10" fillId="0" borderId="40" xfId="585" applyFont="1" applyBorder="1" applyAlignment="1">
      <alignment horizontal="center" vertical="center" wrapText="1"/>
      <protection/>
    </xf>
    <xf numFmtId="4" fontId="8" fillId="0" borderId="32" xfId="625" applyNumberFormat="1" applyFont="1" applyFill="1" applyBorder="1" applyAlignment="1" applyProtection="1">
      <alignment horizontal="center" vertical="center" wrapText="1"/>
      <protection locked="0"/>
    </xf>
    <xf numFmtId="4" fontId="8" fillId="0" borderId="30" xfId="625" applyNumberFormat="1" applyFont="1" applyFill="1" applyBorder="1" applyAlignment="1" applyProtection="1">
      <alignment horizontal="center" vertical="center" wrapText="1"/>
      <protection locked="0"/>
    </xf>
    <xf numFmtId="4" fontId="8" fillId="0" borderId="19" xfId="625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625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585" applyFont="1" applyBorder="1" applyAlignment="1">
      <alignment horizontal="center" vertical="center"/>
      <protection/>
    </xf>
    <xf numFmtId="0" fontId="9" fillId="0" borderId="20" xfId="585" applyFont="1" applyBorder="1" applyAlignment="1">
      <alignment horizontal="center" vertical="center"/>
      <protection/>
    </xf>
    <xf numFmtId="0" fontId="9" fillId="0" borderId="19" xfId="585" applyFont="1" applyBorder="1" applyAlignment="1">
      <alignment horizontal="center" vertical="center"/>
      <protection/>
    </xf>
    <xf numFmtId="0" fontId="2" fillId="0" borderId="0" xfId="562" applyFont="1" applyFill="1" applyAlignment="1">
      <alignment horizontal="center"/>
      <protection/>
    </xf>
    <xf numFmtId="0" fontId="6" fillId="0" borderId="19" xfId="562" applyFont="1" applyFill="1" applyBorder="1" applyAlignment="1">
      <alignment vertical="center"/>
      <protection/>
    </xf>
    <xf numFmtId="0" fontId="9" fillId="0" borderId="41" xfId="562" applyFont="1" applyBorder="1" applyAlignment="1">
      <alignment vertical="center" wrapText="1"/>
      <protection/>
    </xf>
    <xf numFmtId="0" fontId="6" fillId="0" borderId="42" xfId="562" applyFont="1" applyBorder="1" applyAlignment="1">
      <alignment horizontal="center" vertical="center" wrapText="1"/>
      <protection/>
    </xf>
    <xf numFmtId="3" fontId="9" fillId="0" borderId="42" xfId="562" applyNumberFormat="1" applyFont="1" applyBorder="1" applyAlignment="1">
      <alignment horizontal="center" vertical="center" wrapText="1"/>
      <protection/>
    </xf>
    <xf numFmtId="3" fontId="9" fillId="0" borderId="42" xfId="562" applyNumberFormat="1" applyFont="1" applyFill="1" applyBorder="1" applyAlignment="1">
      <alignment horizontal="right" vertical="center"/>
      <protection/>
    </xf>
    <xf numFmtId="1" fontId="9" fillId="0" borderId="42" xfId="562" applyNumberFormat="1" applyFont="1" applyFill="1" applyBorder="1" applyAlignment="1">
      <alignment vertical="center"/>
      <protection/>
    </xf>
    <xf numFmtId="0" fontId="6" fillId="0" borderId="26" xfId="562" applyFont="1" applyBorder="1" applyAlignment="1">
      <alignment wrapText="1"/>
      <protection/>
    </xf>
    <xf numFmtId="0" fontId="6" fillId="0" borderId="27" xfId="562" applyFont="1" applyBorder="1" applyAlignment="1">
      <alignment horizontal="center" wrapText="1"/>
      <protection/>
    </xf>
    <xf numFmtId="3" fontId="6" fillId="0" borderId="27" xfId="562" applyNumberFormat="1" applyFont="1" applyFill="1" applyBorder="1">
      <alignment/>
      <protection/>
    </xf>
    <xf numFmtId="1" fontId="6" fillId="0" borderId="27" xfId="562" applyNumberFormat="1" applyFont="1" applyFill="1" applyBorder="1" applyAlignment="1">
      <alignment vertical="center"/>
      <protection/>
    </xf>
    <xf numFmtId="3" fontId="6" fillId="0" borderId="27" xfId="562" applyNumberFormat="1" applyFont="1" applyBorder="1" applyAlignment="1">
      <alignment horizontal="center" wrapText="1"/>
      <protection/>
    </xf>
    <xf numFmtId="3" fontId="6" fillId="0" borderId="27" xfId="562" applyNumberFormat="1" applyFont="1" applyBorder="1" applyAlignment="1">
      <alignment horizontal="right" wrapText="1"/>
      <protection/>
    </xf>
    <xf numFmtId="1" fontId="6" fillId="0" borderId="43" xfId="562" applyNumberFormat="1" applyFont="1" applyFill="1" applyBorder="1" applyAlignment="1">
      <alignment vertical="center"/>
      <protection/>
    </xf>
    <xf numFmtId="0" fontId="6" fillId="0" borderId="44" xfId="562" applyFont="1" applyFill="1" applyBorder="1" applyAlignment="1">
      <alignment wrapText="1"/>
      <protection/>
    </xf>
    <xf numFmtId="0" fontId="6" fillId="0" borderId="43" xfId="562" applyFont="1" applyFill="1" applyBorder="1" applyAlignment="1">
      <alignment horizontal="center" wrapText="1"/>
      <protection/>
    </xf>
    <xf numFmtId="1" fontId="6" fillId="0" borderId="43" xfId="562" applyNumberFormat="1" applyFont="1" applyFill="1" applyBorder="1" applyAlignment="1">
      <alignment/>
      <protection/>
    </xf>
    <xf numFmtId="0" fontId="6" fillId="0" borderId="21" xfId="562" applyFont="1" applyFill="1" applyBorder="1" applyAlignment="1">
      <alignment vertical="center"/>
      <protection/>
    </xf>
    <xf numFmtId="0" fontId="6" fillId="0" borderId="45" xfId="562" applyFont="1" applyFill="1" applyBorder="1" applyAlignment="1">
      <alignment vertical="center" wrapText="1"/>
      <protection/>
    </xf>
    <xf numFmtId="0" fontId="6" fillId="0" borderId="46" xfId="562" applyFont="1" applyFill="1" applyBorder="1" applyAlignment="1">
      <alignment horizontal="center" vertical="center" wrapText="1"/>
      <protection/>
    </xf>
    <xf numFmtId="3" fontId="6" fillId="0" borderId="46" xfId="562" applyNumberFormat="1" applyFont="1" applyFill="1" applyBorder="1" applyAlignment="1">
      <alignment vertical="center"/>
      <protection/>
    </xf>
    <xf numFmtId="1" fontId="6" fillId="0" borderId="46" xfId="562" applyNumberFormat="1" applyFont="1" applyFill="1" applyBorder="1" applyAlignment="1">
      <alignment vertical="center"/>
      <protection/>
    </xf>
    <xf numFmtId="0" fontId="6" fillId="0" borderId="0" xfId="562" applyFont="1" applyFill="1" applyBorder="1" applyAlignment="1">
      <alignment vertical="center"/>
      <protection/>
    </xf>
    <xf numFmtId="0" fontId="6" fillId="0" borderId="0" xfId="562" applyFont="1" applyFill="1" applyBorder="1" applyAlignment="1">
      <alignment horizontal="center" vertical="center"/>
      <protection/>
    </xf>
    <xf numFmtId="0" fontId="9" fillId="0" borderId="41" xfId="562" applyFont="1" applyFill="1" applyBorder="1" applyAlignment="1">
      <alignment vertical="center" wrapText="1"/>
      <protection/>
    </xf>
    <xf numFmtId="0" fontId="6" fillId="0" borderId="42" xfId="562" applyFont="1" applyFill="1" applyBorder="1" applyAlignment="1">
      <alignment horizontal="center" vertical="center" wrapText="1"/>
      <protection/>
    </xf>
    <xf numFmtId="3" fontId="9" fillId="0" borderId="42" xfId="562" applyNumberFormat="1" applyFont="1" applyFill="1" applyBorder="1" applyAlignment="1">
      <alignment vertical="center"/>
      <protection/>
    </xf>
    <xf numFmtId="0" fontId="34" fillId="0" borderId="24" xfId="562" applyFont="1" applyFill="1" applyBorder="1" applyAlignment="1">
      <alignment horizontal="left" wrapText="1"/>
      <protection/>
    </xf>
    <xf numFmtId="0" fontId="6" fillId="0" borderId="25" xfId="562" applyFont="1" applyFill="1" applyBorder="1" applyAlignment="1">
      <alignment horizontal="center" wrapText="1"/>
      <protection/>
    </xf>
    <xf numFmtId="1" fontId="6" fillId="0" borderId="25" xfId="562" applyNumberFormat="1" applyFont="1" applyFill="1" applyBorder="1" applyAlignment="1">
      <alignment vertical="center"/>
      <protection/>
    </xf>
    <xf numFmtId="0" fontId="6" fillId="0" borderId="0" xfId="562" applyFont="1" applyFill="1" applyBorder="1" applyAlignment="1">
      <alignment/>
      <protection/>
    </xf>
    <xf numFmtId="0" fontId="6" fillId="0" borderId="26" xfId="562" applyFont="1" applyFill="1" applyBorder="1" applyAlignment="1">
      <alignment wrapText="1"/>
      <protection/>
    </xf>
    <xf numFmtId="0" fontId="6" fillId="0" borderId="27" xfId="562" applyFont="1" applyFill="1" applyBorder="1" applyAlignment="1">
      <alignment horizontal="center" wrapText="1"/>
      <protection/>
    </xf>
    <xf numFmtId="3" fontId="6" fillId="0" borderId="34" xfId="562" applyNumberFormat="1" applyFont="1" applyFill="1" applyBorder="1">
      <alignment/>
      <protection/>
    </xf>
    <xf numFmtId="3" fontId="6" fillId="0" borderId="43" xfId="562" applyNumberFormat="1" applyFont="1" applyFill="1" applyBorder="1">
      <alignment/>
      <protection/>
    </xf>
    <xf numFmtId="3" fontId="6" fillId="0" borderId="47" xfId="562" applyNumberFormat="1" applyFont="1" applyFill="1" applyBorder="1">
      <alignment/>
      <protection/>
    </xf>
    <xf numFmtId="0" fontId="6" fillId="0" borderId="48" xfId="562" applyFont="1" applyFill="1" applyBorder="1" applyAlignment="1">
      <alignment horizontal="left" wrapText="1"/>
      <protection/>
    </xf>
    <xf numFmtId="0" fontId="12" fillId="0" borderId="49" xfId="562" applyFont="1" applyFill="1" applyBorder="1" applyAlignment="1">
      <alignment horizontal="center" wrapText="1"/>
      <protection/>
    </xf>
    <xf numFmtId="3" fontId="34" fillId="0" borderId="49" xfId="562" applyNumberFormat="1" applyFont="1" applyFill="1" applyBorder="1">
      <alignment/>
      <protection/>
    </xf>
    <xf numFmtId="1" fontId="6" fillId="0" borderId="49" xfId="562" applyNumberFormat="1" applyFont="1" applyFill="1" applyBorder="1" applyAlignment="1">
      <alignment vertical="center"/>
      <protection/>
    </xf>
    <xf numFmtId="0" fontId="6" fillId="0" borderId="50" xfId="562" applyFont="1" applyFill="1" applyBorder="1" applyAlignment="1">
      <alignment/>
      <protection/>
    </xf>
    <xf numFmtId="0" fontId="6" fillId="0" borderId="0" xfId="562" applyFont="1" applyFill="1" applyBorder="1" applyAlignment="1">
      <alignment horizontal="left"/>
      <protection/>
    </xf>
    <xf numFmtId="0" fontId="6" fillId="0" borderId="24" xfId="562" applyFont="1" applyFill="1" applyBorder="1" applyAlignment="1">
      <alignment wrapText="1"/>
      <protection/>
    </xf>
    <xf numFmtId="3" fontId="6" fillId="0" borderId="25" xfId="562" applyNumberFormat="1" applyFont="1" applyFill="1" applyBorder="1">
      <alignment/>
      <protection/>
    </xf>
    <xf numFmtId="3" fontId="6" fillId="0" borderId="33" xfId="562" applyNumberFormat="1" applyFont="1" applyFill="1" applyBorder="1">
      <alignment/>
      <protection/>
    </xf>
    <xf numFmtId="3" fontId="6" fillId="0" borderId="51" xfId="562" applyNumberFormat="1" applyFont="1" applyFill="1" applyBorder="1" applyAlignment="1">
      <alignment vertical="center"/>
      <protection/>
    </xf>
    <xf numFmtId="49" fontId="9" fillId="0" borderId="41" xfId="562" applyNumberFormat="1" applyFont="1" applyFill="1" applyBorder="1" applyAlignment="1">
      <alignment vertical="center" wrapText="1"/>
      <protection/>
    </xf>
    <xf numFmtId="49" fontId="6" fillId="0" borderId="42" xfId="562" applyNumberFormat="1" applyFont="1" applyFill="1" applyBorder="1" applyAlignment="1">
      <alignment horizontal="center" vertical="center" wrapText="1"/>
      <protection/>
    </xf>
    <xf numFmtId="1" fontId="9" fillId="0" borderId="25" xfId="562" applyNumberFormat="1" applyFont="1" applyFill="1" applyBorder="1" applyAlignment="1">
      <alignment vertical="center"/>
      <protection/>
    </xf>
    <xf numFmtId="49" fontId="34" fillId="0" borderId="24" xfId="562" applyNumberFormat="1" applyFont="1" applyFill="1" applyBorder="1" applyAlignment="1">
      <alignment vertical="center" wrapText="1"/>
      <protection/>
    </xf>
    <xf numFmtId="49" fontId="6" fillId="0" borderId="25" xfId="562" applyNumberFormat="1" applyFont="1" applyFill="1" applyBorder="1" applyAlignment="1">
      <alignment horizontal="center" vertical="center" wrapText="1"/>
      <protection/>
    </xf>
    <xf numFmtId="3" fontId="9" fillId="0" borderId="25" xfId="562" applyNumberFormat="1" applyFont="1" applyFill="1" applyBorder="1" applyAlignment="1">
      <alignment vertical="center"/>
      <protection/>
    </xf>
    <xf numFmtId="49" fontId="6" fillId="0" borderId="24" xfId="562" applyNumberFormat="1" applyFont="1" applyFill="1" applyBorder="1" applyAlignment="1">
      <alignment horizontal="left" wrapText="1"/>
      <protection/>
    </xf>
    <xf numFmtId="49" fontId="6" fillId="0" borderId="25" xfId="562" applyNumberFormat="1" applyFont="1" applyFill="1" applyBorder="1" applyAlignment="1">
      <alignment horizontal="center" wrapText="1"/>
      <protection/>
    </xf>
    <xf numFmtId="1" fontId="6" fillId="0" borderId="25" xfId="562" applyNumberFormat="1" applyFont="1" applyFill="1" applyBorder="1" applyAlignment="1">
      <alignment/>
      <protection/>
    </xf>
    <xf numFmtId="49" fontId="9" fillId="0" borderId="24" xfId="562" applyNumberFormat="1" applyFont="1" applyFill="1" applyBorder="1" applyAlignment="1">
      <alignment horizontal="left" wrapText="1"/>
      <protection/>
    </xf>
    <xf numFmtId="3" fontId="34" fillId="81" borderId="49" xfId="562" applyNumberFormat="1" applyFont="1" applyFill="1" applyBorder="1">
      <alignment/>
      <protection/>
    </xf>
    <xf numFmtId="3" fontId="34" fillId="81" borderId="25" xfId="562" applyNumberFormat="1" applyFont="1" applyFill="1" applyBorder="1">
      <alignment/>
      <protection/>
    </xf>
    <xf numFmtId="49" fontId="9" fillId="0" borderId="26" xfId="562" applyNumberFormat="1" applyFont="1" applyFill="1" applyBorder="1" applyAlignment="1">
      <alignment horizontal="right" wrapText="1"/>
      <protection/>
    </xf>
    <xf numFmtId="49" fontId="6" fillId="0" borderId="27" xfId="562" applyNumberFormat="1" applyFont="1" applyFill="1" applyBorder="1" applyAlignment="1">
      <alignment horizontal="center" wrapText="1"/>
      <protection/>
    </xf>
    <xf numFmtId="3" fontId="9" fillId="0" borderId="27" xfId="562" applyNumberFormat="1" applyFont="1" applyFill="1" applyBorder="1">
      <alignment/>
      <protection/>
    </xf>
    <xf numFmtId="49" fontId="6" fillId="0" borderId="44" xfId="562" applyNumberFormat="1" applyFont="1" applyFill="1" applyBorder="1" applyAlignment="1">
      <alignment wrapText="1"/>
      <protection/>
    </xf>
    <xf numFmtId="49" fontId="6" fillId="0" borderId="43" xfId="562" applyNumberFormat="1" applyFont="1" applyFill="1" applyBorder="1" applyAlignment="1">
      <alignment horizontal="center" wrapText="1"/>
      <protection/>
    </xf>
    <xf numFmtId="1" fontId="12" fillId="0" borderId="43" xfId="562" applyNumberFormat="1" applyFont="1" applyFill="1" applyBorder="1" applyAlignment="1">
      <alignment vertical="center"/>
      <protection/>
    </xf>
    <xf numFmtId="49" fontId="6" fillId="8" borderId="44" xfId="562" applyNumberFormat="1" applyFont="1" applyFill="1" applyBorder="1" applyAlignment="1">
      <alignment wrapText="1"/>
      <protection/>
    </xf>
    <xf numFmtId="49" fontId="6" fillId="8" borderId="43" xfId="562" applyNumberFormat="1" applyFont="1" applyFill="1" applyBorder="1" applyAlignment="1">
      <alignment horizontal="center" wrapText="1"/>
      <protection/>
    </xf>
    <xf numFmtId="3" fontId="6" fillId="8" borderId="43" xfId="562" applyNumberFormat="1" applyFont="1" applyFill="1" applyBorder="1">
      <alignment/>
      <protection/>
    </xf>
    <xf numFmtId="3" fontId="6" fillId="8" borderId="47" xfId="562" applyNumberFormat="1" applyFont="1" applyFill="1" applyBorder="1">
      <alignment/>
      <protection/>
    </xf>
    <xf numFmtId="1" fontId="12" fillId="8" borderId="43" xfId="562" applyNumberFormat="1" applyFont="1" applyFill="1" applyBorder="1" applyAlignment="1">
      <alignment vertical="center"/>
      <protection/>
    </xf>
    <xf numFmtId="1" fontId="34" fillId="8" borderId="43" xfId="562" applyNumberFormat="1" applyFont="1" applyFill="1" applyBorder="1" applyAlignment="1">
      <alignment vertical="center"/>
      <protection/>
    </xf>
    <xf numFmtId="1" fontId="6" fillId="8" borderId="43" xfId="562" applyNumberFormat="1" applyFont="1" applyFill="1" applyBorder="1" applyAlignment="1">
      <alignment vertical="center"/>
      <protection/>
    </xf>
    <xf numFmtId="1" fontId="34" fillId="0" borderId="43" xfId="562" applyNumberFormat="1" applyFont="1" applyFill="1" applyBorder="1" applyAlignment="1">
      <alignment vertical="center"/>
      <protection/>
    </xf>
    <xf numFmtId="1" fontId="9" fillId="0" borderId="43" xfId="562" applyNumberFormat="1" applyFont="1" applyFill="1" applyBorder="1" applyAlignment="1">
      <alignment vertical="center"/>
      <protection/>
    </xf>
    <xf numFmtId="49" fontId="6" fillId="0" borderId="44" xfId="562" applyNumberFormat="1" applyFont="1" applyFill="1" applyBorder="1" applyAlignment="1">
      <alignment horizontal="left" wrapText="1"/>
      <protection/>
    </xf>
    <xf numFmtId="49" fontId="9" fillId="0" borderId="44" xfId="562" applyNumberFormat="1" applyFont="1" applyFill="1" applyBorder="1" applyAlignment="1">
      <alignment horizontal="left" wrapText="1"/>
      <protection/>
    </xf>
    <xf numFmtId="3" fontId="9" fillId="0" borderId="43" xfId="562" applyNumberFormat="1" applyFont="1" applyFill="1" applyBorder="1">
      <alignment/>
      <protection/>
    </xf>
    <xf numFmtId="3" fontId="9" fillId="0" borderId="47" xfId="562" applyNumberFormat="1" applyFont="1" applyFill="1" applyBorder="1">
      <alignment/>
      <protection/>
    </xf>
    <xf numFmtId="49" fontId="6" fillId="0" borderId="49" xfId="562" applyNumberFormat="1" applyFont="1" applyFill="1" applyBorder="1" applyAlignment="1">
      <alignment horizontal="center" wrapText="1"/>
      <protection/>
    </xf>
    <xf numFmtId="49" fontId="6" fillId="8" borderId="44" xfId="562" applyNumberFormat="1" applyFont="1" applyFill="1" applyBorder="1" applyAlignment="1">
      <alignment horizontal="left" wrapText="1"/>
      <protection/>
    </xf>
    <xf numFmtId="49" fontId="6" fillId="8" borderId="49" xfId="562" applyNumberFormat="1" applyFont="1" applyFill="1" applyBorder="1" applyAlignment="1">
      <alignment horizontal="center" wrapText="1"/>
      <protection/>
    </xf>
    <xf numFmtId="3" fontId="6" fillId="82" borderId="47" xfId="562" applyNumberFormat="1" applyFont="1" applyFill="1" applyBorder="1">
      <alignment/>
      <protection/>
    </xf>
    <xf numFmtId="0" fontId="6" fillId="0" borderId="44" xfId="562" applyFont="1" applyFill="1" applyBorder="1">
      <alignment/>
      <protection/>
    </xf>
    <xf numFmtId="49" fontId="9" fillId="0" borderId="44" xfId="562" applyNumberFormat="1" applyFont="1" applyFill="1" applyBorder="1" applyAlignment="1">
      <alignment wrapText="1"/>
      <protection/>
    </xf>
    <xf numFmtId="49" fontId="9" fillId="0" borderId="48" xfId="562" applyNumberFormat="1" applyFont="1" applyFill="1" applyBorder="1" applyAlignment="1">
      <alignment wrapText="1"/>
      <protection/>
    </xf>
    <xf numFmtId="3" fontId="9" fillId="0" borderId="49" xfId="562" applyNumberFormat="1" applyFont="1" applyFill="1" applyBorder="1">
      <alignment/>
      <protection/>
    </xf>
    <xf numFmtId="3" fontId="9" fillId="0" borderId="52" xfId="562" applyNumberFormat="1" applyFont="1" applyFill="1" applyBorder="1">
      <alignment/>
      <protection/>
    </xf>
    <xf numFmtId="49" fontId="34" fillId="0" borderId="48" xfId="562" applyNumberFormat="1" applyFont="1" applyFill="1" applyBorder="1" applyAlignment="1">
      <alignment wrapText="1"/>
      <protection/>
    </xf>
    <xf numFmtId="49" fontId="6" fillId="0" borderId="48" xfId="562" applyNumberFormat="1" applyFont="1" applyFill="1" applyBorder="1" applyAlignment="1">
      <alignment wrapText="1"/>
      <protection/>
    </xf>
    <xf numFmtId="3" fontId="34" fillId="0" borderId="49" xfId="562" applyNumberFormat="1" applyFont="1" applyFill="1" applyBorder="1" applyAlignment="1">
      <alignment/>
      <protection/>
    </xf>
    <xf numFmtId="3" fontId="12" fillId="0" borderId="49" xfId="562" applyNumberFormat="1" applyFont="1" applyFill="1" applyBorder="1" applyAlignment="1">
      <alignment/>
      <protection/>
    </xf>
    <xf numFmtId="3" fontId="12" fillId="0" borderId="52" xfId="562" applyNumberFormat="1" applyFont="1" applyFill="1" applyBorder="1" applyAlignment="1">
      <alignment/>
      <protection/>
    </xf>
    <xf numFmtId="3" fontId="6" fillId="0" borderId="49" xfId="562" applyNumberFormat="1" applyFont="1" applyFill="1" applyBorder="1" applyAlignment="1">
      <alignment/>
      <protection/>
    </xf>
    <xf numFmtId="0" fontId="6" fillId="0" borderId="48" xfId="584" applyFont="1" applyBorder="1" applyAlignment="1">
      <alignment wrapText="1"/>
      <protection/>
    </xf>
    <xf numFmtId="49" fontId="12" fillId="0" borderId="49" xfId="562" applyNumberFormat="1" applyFont="1" applyFill="1" applyBorder="1" applyAlignment="1">
      <alignment horizontal="center" wrapText="1"/>
      <protection/>
    </xf>
    <xf numFmtId="49" fontId="6" fillId="0" borderId="26" xfId="562" applyNumberFormat="1" applyFont="1" applyFill="1" applyBorder="1" applyAlignment="1">
      <alignment wrapText="1"/>
      <protection/>
    </xf>
    <xf numFmtId="3" fontId="6" fillId="0" borderId="27" xfId="562" applyNumberFormat="1" applyFont="1" applyFill="1" applyBorder="1" applyAlignment="1">
      <alignment/>
      <protection/>
    </xf>
    <xf numFmtId="3" fontId="6" fillId="0" borderId="34" xfId="562" applyNumberFormat="1" applyFont="1" applyFill="1" applyBorder="1" applyAlignment="1">
      <alignment/>
      <protection/>
    </xf>
    <xf numFmtId="3" fontId="6" fillId="0" borderId="43" xfId="562" applyNumberFormat="1" applyFont="1" applyFill="1" applyBorder="1" applyAlignment="1">
      <alignment/>
      <protection/>
    </xf>
    <xf numFmtId="3" fontId="6" fillId="0" borderId="47" xfId="562" applyNumberFormat="1" applyFont="1" applyFill="1" applyBorder="1" applyAlignment="1">
      <alignment/>
      <protection/>
    </xf>
    <xf numFmtId="3" fontId="6" fillId="0" borderId="49" xfId="562" applyNumberFormat="1" applyFont="1" applyFill="1" applyBorder="1">
      <alignment/>
      <protection/>
    </xf>
    <xf numFmtId="3" fontId="6" fillId="0" borderId="52" xfId="562" applyNumberFormat="1" applyFont="1" applyFill="1" applyBorder="1">
      <alignment/>
      <protection/>
    </xf>
    <xf numFmtId="1" fontId="6" fillId="8" borderId="43" xfId="562" applyNumberFormat="1" applyFont="1" applyFill="1" applyBorder="1" applyAlignment="1">
      <alignment/>
      <protection/>
    </xf>
    <xf numFmtId="49" fontId="6" fillId="0" borderId="45" xfId="562" applyNumberFormat="1" applyFont="1" applyFill="1" applyBorder="1" applyAlignment="1">
      <alignment vertical="center" wrapText="1"/>
      <protection/>
    </xf>
    <xf numFmtId="49" fontId="6" fillId="0" borderId="46" xfId="562" applyNumberFormat="1" applyFont="1" applyFill="1" applyBorder="1" applyAlignment="1">
      <alignment horizontal="center" vertical="center" wrapText="1"/>
      <protection/>
    </xf>
    <xf numFmtId="3" fontId="6" fillId="0" borderId="46" xfId="562" applyNumberFormat="1" applyFont="1" applyFill="1" applyBorder="1">
      <alignment/>
      <protection/>
    </xf>
    <xf numFmtId="3" fontId="6" fillId="0" borderId="51" xfId="562" applyNumberFormat="1" applyFont="1" applyFill="1" applyBorder="1">
      <alignment/>
      <protection/>
    </xf>
    <xf numFmtId="0" fontId="9" fillId="0" borderId="24" xfId="562" applyFont="1" applyFill="1" applyBorder="1" applyAlignment="1">
      <alignment vertical="center" wrapText="1"/>
      <protection/>
    </xf>
    <xf numFmtId="0" fontId="6" fillId="0" borderId="27" xfId="562" applyFont="1" applyFill="1" applyBorder="1" applyAlignment="1">
      <alignment horizontal="center" vertical="center" wrapText="1"/>
      <protection/>
    </xf>
    <xf numFmtId="3" fontId="34" fillId="0" borderId="25" xfId="562" applyNumberFormat="1" applyFont="1" applyFill="1" applyBorder="1" applyAlignment="1">
      <alignment vertical="center"/>
      <protection/>
    </xf>
    <xf numFmtId="0" fontId="9" fillId="0" borderId="0" xfId="562" applyFont="1" applyFill="1" applyBorder="1" applyAlignment="1">
      <alignment vertical="center"/>
      <protection/>
    </xf>
    <xf numFmtId="0" fontId="34" fillId="0" borderId="48" xfId="562" applyFont="1" applyFill="1" applyBorder="1" applyAlignment="1">
      <alignment vertical="center" wrapText="1"/>
      <protection/>
    </xf>
    <xf numFmtId="3" fontId="34" fillId="0" borderId="49" xfId="562" applyNumberFormat="1" applyFont="1" applyFill="1" applyBorder="1" applyAlignment="1">
      <alignment vertical="center"/>
      <protection/>
    </xf>
    <xf numFmtId="3" fontId="34" fillId="0" borderId="52" xfId="562" applyNumberFormat="1" applyFont="1" applyFill="1" applyBorder="1" applyAlignment="1">
      <alignment vertical="center"/>
      <protection/>
    </xf>
    <xf numFmtId="0" fontId="9" fillId="0" borderId="48" xfId="562" applyFont="1" applyFill="1" applyBorder="1" applyAlignment="1">
      <alignment wrapText="1"/>
      <protection/>
    </xf>
    <xf numFmtId="0" fontId="6" fillId="0" borderId="49" xfId="562" applyFont="1" applyFill="1" applyBorder="1" applyAlignment="1">
      <alignment horizontal="center" wrapText="1"/>
      <protection/>
    </xf>
    <xf numFmtId="0" fontId="6" fillId="0" borderId="44" xfId="562" applyFont="1" applyBorder="1" applyAlignment="1">
      <alignment wrapText="1"/>
      <protection/>
    </xf>
    <xf numFmtId="0" fontId="6" fillId="8" borderId="44" xfId="562" applyFont="1" applyFill="1" applyBorder="1" applyAlignment="1">
      <alignment wrapText="1"/>
      <protection/>
    </xf>
    <xf numFmtId="0" fontId="6" fillId="8" borderId="43" xfId="562" applyFont="1" applyFill="1" applyBorder="1" applyAlignment="1">
      <alignment horizontal="center" wrapText="1"/>
      <protection/>
    </xf>
    <xf numFmtId="0" fontId="6" fillId="0" borderId="44" xfId="562" applyFont="1" applyFill="1" applyBorder="1" applyAlignment="1">
      <alignment vertical="center" wrapText="1"/>
      <protection/>
    </xf>
    <xf numFmtId="0" fontId="6" fillId="0" borderId="43" xfId="562" applyFont="1" applyFill="1" applyBorder="1" applyAlignment="1">
      <alignment horizontal="center" vertical="center" wrapText="1"/>
      <protection/>
    </xf>
    <xf numFmtId="3" fontId="6" fillId="0" borderId="43" xfId="562" applyNumberFormat="1" applyFont="1" applyFill="1" applyBorder="1" applyAlignment="1">
      <alignment vertical="center"/>
      <protection/>
    </xf>
    <xf numFmtId="3" fontId="6" fillId="0" borderId="47" xfId="562" applyNumberFormat="1" applyFont="1" applyFill="1" applyBorder="1" applyAlignment="1">
      <alignment vertical="center"/>
      <protection/>
    </xf>
    <xf numFmtId="0" fontId="6" fillId="0" borderId="25" xfId="562" applyFont="1" applyFill="1" applyBorder="1" applyAlignment="1">
      <alignment horizontal="center" vertical="center" wrapText="1"/>
      <protection/>
    </xf>
    <xf numFmtId="3" fontId="6" fillId="0" borderId="49" xfId="562" applyNumberFormat="1" applyFont="1" applyFill="1" applyBorder="1" applyAlignment="1">
      <alignment vertical="center"/>
      <protection/>
    </xf>
    <xf numFmtId="3" fontId="9" fillId="0" borderId="49" xfId="562" applyNumberFormat="1" applyFont="1" applyFill="1" applyBorder="1" applyAlignment="1">
      <alignment vertical="center"/>
      <protection/>
    </xf>
    <xf numFmtId="0" fontId="6" fillId="8" borderId="45" xfId="562" applyFont="1" applyFill="1" applyBorder="1" applyAlignment="1">
      <alignment vertical="center" wrapText="1"/>
      <protection/>
    </xf>
    <xf numFmtId="0" fontId="6" fillId="8" borderId="29" xfId="562" applyFont="1" applyFill="1" applyBorder="1" applyAlignment="1">
      <alignment horizontal="center" vertical="center" wrapText="1"/>
      <protection/>
    </xf>
    <xf numFmtId="3" fontId="47" fillId="8" borderId="46" xfId="562" applyNumberFormat="1" applyFont="1" applyFill="1" applyBorder="1" applyAlignment="1">
      <alignment vertical="center"/>
      <protection/>
    </xf>
    <xf numFmtId="3" fontId="12" fillId="8" borderId="46" xfId="562" applyNumberFormat="1" applyFont="1" applyFill="1" applyBorder="1" applyAlignment="1">
      <alignment vertical="center"/>
      <protection/>
    </xf>
    <xf numFmtId="3" fontId="12" fillId="8" borderId="51" xfId="562" applyNumberFormat="1" applyFont="1" applyFill="1" applyBorder="1" applyAlignment="1">
      <alignment vertical="center"/>
      <protection/>
    </xf>
    <xf numFmtId="1" fontId="6" fillId="8" borderId="49" xfId="562" applyNumberFormat="1" applyFont="1" applyFill="1" applyBorder="1" applyAlignment="1">
      <alignment vertical="center"/>
      <protection/>
    </xf>
    <xf numFmtId="0" fontId="6" fillId="82" borderId="24" xfId="562" applyFont="1" applyFill="1" applyBorder="1" applyAlignment="1">
      <alignment vertical="center" wrapText="1"/>
      <protection/>
    </xf>
    <xf numFmtId="0" fontId="6" fillId="82" borderId="25" xfId="562" applyFont="1" applyFill="1" applyBorder="1" applyAlignment="1">
      <alignment horizontal="center" vertical="center" wrapText="1"/>
      <protection/>
    </xf>
    <xf numFmtId="3" fontId="47" fillId="82" borderId="25" xfId="562" applyNumberFormat="1" applyFont="1" applyFill="1" applyBorder="1" applyAlignment="1">
      <alignment vertical="center"/>
      <protection/>
    </xf>
    <xf numFmtId="3" fontId="34" fillId="82" borderId="25" xfId="562" applyNumberFormat="1" applyFont="1" applyFill="1" applyBorder="1" applyAlignment="1">
      <alignment vertical="center"/>
      <protection/>
    </xf>
    <xf numFmtId="3" fontId="12" fillId="82" borderId="33" xfId="562" applyNumberFormat="1" applyFont="1" applyFill="1" applyBorder="1" applyAlignment="1">
      <alignment vertical="center"/>
      <protection/>
    </xf>
    <xf numFmtId="1" fontId="6" fillId="0" borderId="53" xfId="562" applyNumberFormat="1" applyFont="1" applyFill="1" applyBorder="1" applyAlignment="1">
      <alignment vertical="center"/>
      <protection/>
    </xf>
    <xf numFmtId="49" fontId="34" fillId="0" borderId="24" xfId="562" applyNumberFormat="1" applyFont="1" applyFill="1" applyBorder="1" applyAlignment="1">
      <alignment wrapText="1"/>
      <protection/>
    </xf>
    <xf numFmtId="1" fontId="9" fillId="0" borderId="27" xfId="562" applyNumberFormat="1" applyFont="1" applyFill="1" applyBorder="1" applyAlignment="1">
      <alignment vertical="center"/>
      <protection/>
    </xf>
    <xf numFmtId="1" fontId="9" fillId="0" borderId="49" xfId="562" applyNumberFormat="1" applyFont="1" applyFill="1" applyBorder="1" applyAlignment="1">
      <alignment vertical="center"/>
      <protection/>
    </xf>
    <xf numFmtId="49" fontId="6" fillId="0" borderId="44" xfId="562" applyNumberFormat="1" applyFont="1" applyFill="1" applyBorder="1" applyAlignment="1">
      <alignment vertical="center" wrapText="1"/>
      <protection/>
    </xf>
    <xf numFmtId="49" fontId="6" fillId="0" borderId="43" xfId="562" applyNumberFormat="1" applyFont="1" applyFill="1" applyBorder="1" applyAlignment="1">
      <alignment horizontal="center" vertical="center" wrapText="1"/>
      <protection/>
    </xf>
    <xf numFmtId="1" fontId="6" fillId="0" borderId="27" xfId="562" applyNumberFormat="1" applyFont="1" applyFill="1" applyBorder="1" applyAlignment="1">
      <alignment/>
      <protection/>
    </xf>
    <xf numFmtId="49" fontId="6" fillId="0" borderId="45" xfId="562" applyNumberFormat="1" applyFont="1" applyFill="1" applyBorder="1" applyAlignment="1">
      <alignment wrapText="1"/>
      <protection/>
    </xf>
    <xf numFmtId="49" fontId="6" fillId="0" borderId="46" xfId="562" applyNumberFormat="1" applyFont="1" applyFill="1" applyBorder="1" applyAlignment="1">
      <alignment horizontal="center" wrapText="1"/>
      <protection/>
    </xf>
    <xf numFmtId="1" fontId="6" fillId="0" borderId="49" xfId="562" applyNumberFormat="1" applyFont="1" applyFill="1" applyBorder="1" applyAlignment="1">
      <alignment/>
      <protection/>
    </xf>
    <xf numFmtId="0" fontId="6" fillId="0" borderId="19" xfId="562" applyFont="1" applyFill="1" applyBorder="1" applyAlignment="1">
      <alignment/>
      <protection/>
    </xf>
    <xf numFmtId="49" fontId="9" fillId="0" borderId="41" xfId="562" applyNumberFormat="1" applyFont="1" applyFill="1" applyBorder="1" applyAlignment="1">
      <alignment wrapText="1"/>
      <protection/>
    </xf>
    <xf numFmtId="49" fontId="6" fillId="0" borderId="42" xfId="562" applyNumberFormat="1" applyFont="1" applyFill="1" applyBorder="1" applyAlignment="1">
      <alignment horizontal="center" wrapText="1"/>
      <protection/>
    </xf>
    <xf numFmtId="3" fontId="9" fillId="0" borderId="42" xfId="562" applyNumberFormat="1" applyFont="1" applyFill="1" applyBorder="1" applyAlignment="1">
      <alignment/>
      <protection/>
    </xf>
    <xf numFmtId="3" fontId="9" fillId="0" borderId="54" xfId="562" applyNumberFormat="1" applyFont="1" applyFill="1" applyBorder="1" applyAlignment="1">
      <alignment/>
      <protection/>
    </xf>
    <xf numFmtId="49" fontId="34" fillId="0" borderId="28" xfId="562" applyNumberFormat="1" applyFont="1" applyFill="1" applyBorder="1" applyAlignment="1">
      <alignment vertical="center" wrapText="1"/>
      <protection/>
    </xf>
    <xf numFmtId="49" fontId="6" fillId="0" borderId="29" xfId="562" applyNumberFormat="1" applyFont="1" applyFill="1" applyBorder="1" applyAlignment="1">
      <alignment horizontal="center" vertical="center" wrapText="1"/>
      <protection/>
    </xf>
    <xf numFmtId="3" fontId="34" fillId="0" borderId="29" xfId="562" applyNumberFormat="1" applyFont="1" applyFill="1" applyBorder="1" applyAlignment="1">
      <alignment vertical="center"/>
      <protection/>
    </xf>
    <xf numFmtId="3" fontId="34" fillId="0" borderId="35" xfId="562" applyNumberFormat="1" applyFont="1" applyFill="1" applyBorder="1" applyAlignment="1">
      <alignment vertical="center"/>
      <protection/>
    </xf>
    <xf numFmtId="1" fontId="9" fillId="0" borderId="29" xfId="562" applyNumberFormat="1" applyFont="1" applyFill="1" applyBorder="1" applyAlignment="1">
      <alignment vertical="center"/>
      <protection/>
    </xf>
    <xf numFmtId="49" fontId="6" fillId="0" borderId="26" xfId="562" applyNumberFormat="1" applyFont="1" applyFill="1" applyBorder="1" applyAlignment="1">
      <alignment horizontal="left" wrapText="1"/>
      <protection/>
    </xf>
    <xf numFmtId="49" fontId="6" fillId="0" borderId="44" xfId="562" applyNumberFormat="1" applyFont="1" applyFill="1" applyBorder="1" applyAlignment="1">
      <alignment horizontal="left" vertical="center" wrapText="1"/>
      <protection/>
    </xf>
    <xf numFmtId="3" fontId="6" fillId="0" borderId="27" xfId="562" applyNumberFormat="1" applyFont="1" applyFill="1" applyBorder="1" applyAlignment="1">
      <alignment vertical="center"/>
      <protection/>
    </xf>
    <xf numFmtId="3" fontId="6" fillId="0" borderId="34" xfId="562" applyNumberFormat="1" applyFont="1" applyFill="1" applyBorder="1" applyAlignment="1">
      <alignment vertical="center"/>
      <protection/>
    </xf>
    <xf numFmtId="0" fontId="6" fillId="0" borderId="44" xfId="584" applyFont="1" applyBorder="1" applyAlignment="1">
      <alignment vertical="center" wrapText="1"/>
      <protection/>
    </xf>
    <xf numFmtId="3" fontId="12" fillId="0" borderId="49" xfId="562" applyNumberFormat="1" applyFont="1" applyFill="1" applyBorder="1">
      <alignment/>
      <protection/>
    </xf>
    <xf numFmtId="0" fontId="6" fillId="0" borderId="44" xfId="584" applyFont="1" applyBorder="1" applyAlignment="1">
      <alignment wrapText="1"/>
      <protection/>
    </xf>
    <xf numFmtId="0" fontId="6" fillId="0" borderId="26" xfId="584" applyFont="1" applyBorder="1" applyAlignment="1">
      <alignment horizontal="left" wrapText="1"/>
      <protection/>
    </xf>
    <xf numFmtId="0" fontId="6" fillId="0" borderId="44" xfId="584" applyFont="1" applyBorder="1" applyAlignment="1">
      <alignment horizontal="left" wrapText="1"/>
      <protection/>
    </xf>
    <xf numFmtId="0" fontId="6" fillId="8" borderId="44" xfId="584" applyFont="1" applyFill="1" applyBorder="1" applyAlignment="1">
      <alignment horizontal="left" wrapText="1"/>
      <protection/>
    </xf>
    <xf numFmtId="49" fontId="34" fillId="0" borderId="48" xfId="562" applyNumberFormat="1" applyFont="1" applyFill="1" applyBorder="1" applyAlignment="1">
      <alignment vertical="center" wrapText="1"/>
      <protection/>
    </xf>
    <xf numFmtId="3" fontId="6" fillId="0" borderId="52" xfId="562" applyNumberFormat="1" applyFont="1" applyFill="1" applyBorder="1" applyAlignment="1">
      <alignment vertical="center"/>
      <protection/>
    </xf>
    <xf numFmtId="49" fontId="6" fillId="0" borderId="48" xfId="562" applyNumberFormat="1" applyFont="1" applyFill="1" applyBorder="1" applyAlignment="1">
      <alignment vertical="center" wrapText="1"/>
      <protection/>
    </xf>
    <xf numFmtId="49" fontId="6" fillId="10" borderId="45" xfId="562" applyNumberFormat="1" applyFont="1" applyFill="1" applyBorder="1" applyAlignment="1">
      <alignment vertical="center" wrapText="1"/>
      <protection/>
    </xf>
    <xf numFmtId="0" fontId="34" fillId="0" borderId="24" xfId="562" applyFont="1" applyFill="1" applyBorder="1" applyAlignment="1">
      <alignment wrapText="1"/>
      <protection/>
    </xf>
    <xf numFmtId="0" fontId="6" fillId="0" borderId="48" xfId="562" applyFont="1" applyFill="1" applyBorder="1" applyAlignment="1">
      <alignment wrapText="1"/>
      <protection/>
    </xf>
    <xf numFmtId="1" fontId="6" fillId="8" borderId="25" xfId="562" applyNumberFormat="1" applyFont="1" applyFill="1" applyBorder="1" applyAlignment="1">
      <alignment vertical="center"/>
      <protection/>
    </xf>
    <xf numFmtId="0" fontId="6" fillId="0" borderId="44" xfId="562" applyFont="1" applyFill="1" applyBorder="1" applyAlignment="1">
      <alignment horizontal="left" wrapText="1"/>
      <protection/>
    </xf>
    <xf numFmtId="0" fontId="6" fillId="0" borderId="44" xfId="562" applyFont="1" applyFill="1" applyBorder="1" applyAlignment="1">
      <alignment horizontal="left" vertical="center" wrapText="1"/>
      <protection/>
    </xf>
    <xf numFmtId="0" fontId="6" fillId="0" borderId="49" xfId="562" applyFont="1" applyFill="1" applyBorder="1" applyAlignment="1">
      <alignment horizontal="center" vertical="center" wrapText="1"/>
      <protection/>
    </xf>
    <xf numFmtId="0" fontId="48" fillId="0" borderId="24" xfId="562" applyFont="1" applyFill="1" applyBorder="1" applyAlignment="1">
      <alignment vertical="center" wrapText="1"/>
      <protection/>
    </xf>
    <xf numFmtId="0" fontId="36" fillId="0" borderId="48" xfId="562" applyFont="1" applyFill="1" applyBorder="1" applyAlignment="1">
      <alignment vertical="center" wrapText="1"/>
      <protection/>
    </xf>
    <xf numFmtId="0" fontId="36" fillId="0" borderId="27" xfId="562" applyFont="1" applyFill="1" applyBorder="1" applyAlignment="1">
      <alignment horizontal="center" vertical="center" wrapText="1"/>
      <protection/>
    </xf>
    <xf numFmtId="3" fontId="48" fillId="0" borderId="49" xfId="562" applyNumberFormat="1" applyFont="1" applyFill="1" applyBorder="1" applyAlignment="1">
      <alignment vertical="center"/>
      <protection/>
    </xf>
    <xf numFmtId="3" fontId="39" fillId="0" borderId="49" xfId="562" applyNumberFormat="1" applyFont="1" applyFill="1" applyBorder="1" applyAlignment="1">
      <alignment vertical="center"/>
      <protection/>
    </xf>
    <xf numFmtId="3" fontId="12" fillId="0" borderId="52" xfId="562" applyNumberFormat="1" applyFont="1" applyFill="1" applyBorder="1" applyAlignment="1">
      <alignment vertical="center"/>
      <protection/>
    </xf>
    <xf numFmtId="0" fontId="48" fillId="0" borderId="48" xfId="562" applyFont="1" applyFill="1" applyBorder="1" applyAlignment="1">
      <alignment vertical="center" wrapText="1"/>
      <protection/>
    </xf>
    <xf numFmtId="3" fontId="36" fillId="0" borderId="49" xfId="562" applyNumberFormat="1" applyFont="1" applyFill="1" applyBorder="1" applyAlignment="1">
      <alignment vertical="center"/>
      <protection/>
    </xf>
    <xf numFmtId="0" fontId="49" fillId="0" borderId="48" xfId="562" applyFont="1" applyFill="1" applyBorder="1" applyAlignment="1">
      <alignment vertical="center" wrapText="1"/>
      <protection/>
    </xf>
    <xf numFmtId="0" fontId="36" fillId="0" borderId="49" xfId="562" applyFont="1" applyFill="1" applyBorder="1" applyAlignment="1">
      <alignment horizontal="center" wrapText="1"/>
      <protection/>
    </xf>
    <xf numFmtId="0" fontId="36" fillId="0" borderId="27" xfId="562" applyFont="1" applyFill="1" applyBorder="1" applyAlignment="1">
      <alignment horizontal="center" wrapText="1"/>
      <protection/>
    </xf>
    <xf numFmtId="0" fontId="6" fillId="8" borderId="26" xfId="562" applyFont="1" applyFill="1" applyBorder="1" applyAlignment="1">
      <alignment wrapText="1"/>
      <protection/>
    </xf>
    <xf numFmtId="0" fontId="36" fillId="8" borderId="27" xfId="562" applyFont="1" applyFill="1" applyBorder="1" applyAlignment="1">
      <alignment horizontal="center" wrapText="1"/>
      <protection/>
    </xf>
    <xf numFmtId="3" fontId="6" fillId="8" borderId="27" xfId="562" applyNumberFormat="1" applyFont="1" applyFill="1" applyBorder="1">
      <alignment/>
      <protection/>
    </xf>
    <xf numFmtId="3" fontId="6" fillId="8" borderId="34" xfId="562" applyNumberFormat="1" applyFont="1" applyFill="1" applyBorder="1">
      <alignment/>
      <protection/>
    </xf>
    <xf numFmtId="1" fontId="6" fillId="8" borderId="27" xfId="562" applyNumberFormat="1" applyFont="1" applyFill="1" applyBorder="1" applyAlignment="1">
      <alignment vertical="center"/>
      <protection/>
    </xf>
    <xf numFmtId="0" fontId="36" fillId="8" borderId="44" xfId="562" applyFont="1" applyFill="1" applyBorder="1" applyAlignment="1">
      <alignment vertical="center" wrapText="1"/>
      <protection/>
    </xf>
    <xf numFmtId="0" fontId="36" fillId="8" borderId="43" xfId="562" applyFont="1" applyFill="1" applyBorder="1" applyAlignment="1">
      <alignment horizontal="center" vertical="center" wrapText="1"/>
      <protection/>
    </xf>
    <xf numFmtId="3" fontId="6" fillId="8" borderId="43" xfId="562" applyNumberFormat="1" applyFont="1" applyFill="1" applyBorder="1" applyAlignment="1">
      <alignment vertical="center"/>
      <protection/>
    </xf>
    <xf numFmtId="3" fontId="6" fillId="8" borderId="47" xfId="562" applyNumberFormat="1" applyFont="1" applyFill="1" applyBorder="1" applyAlignment="1">
      <alignment vertical="center"/>
      <protection/>
    </xf>
    <xf numFmtId="0" fontId="36" fillId="0" borderId="44" xfId="562" applyFont="1" applyFill="1" applyBorder="1" applyAlignment="1">
      <alignment vertical="center" wrapText="1"/>
      <protection/>
    </xf>
    <xf numFmtId="0" fontId="36" fillId="0" borderId="43" xfId="562" applyFont="1" applyFill="1" applyBorder="1" applyAlignment="1">
      <alignment horizontal="center" vertical="center" wrapText="1"/>
      <protection/>
    </xf>
    <xf numFmtId="0" fontId="34" fillId="0" borderId="48" xfId="562" applyFont="1" applyFill="1" applyBorder="1" applyAlignment="1">
      <alignment wrapText="1"/>
      <protection/>
    </xf>
    <xf numFmtId="1" fontId="12" fillId="0" borderId="49" xfId="562" applyNumberFormat="1" applyFont="1" applyFill="1" applyBorder="1">
      <alignment/>
      <protection/>
    </xf>
    <xf numFmtId="0" fontId="6" fillId="8" borderId="27" xfId="562" applyFont="1" applyFill="1" applyBorder="1" applyAlignment="1">
      <alignment horizontal="center" wrapText="1"/>
      <protection/>
    </xf>
    <xf numFmtId="0" fontId="6" fillId="8" borderId="48" xfId="562" applyFont="1" applyFill="1" applyBorder="1" applyAlignment="1">
      <alignment wrapText="1"/>
      <protection/>
    </xf>
    <xf numFmtId="1" fontId="6" fillId="8" borderId="53" xfId="562" applyNumberFormat="1" applyFont="1" applyFill="1" applyBorder="1" applyAlignment="1">
      <alignment vertical="center"/>
      <protection/>
    </xf>
    <xf numFmtId="0" fontId="9" fillId="0" borderId="26" xfId="562" applyFont="1" applyFill="1" applyBorder="1" applyAlignment="1">
      <alignment vertical="center" wrapText="1"/>
      <protection/>
    </xf>
    <xf numFmtId="3" fontId="34" fillId="0" borderId="27" xfId="562" applyNumberFormat="1" applyFont="1" applyFill="1" applyBorder="1" applyAlignment="1">
      <alignment vertical="center"/>
      <protection/>
    </xf>
    <xf numFmtId="0" fontId="6" fillId="0" borderId="26" xfId="562" applyFont="1" applyFill="1" applyBorder="1" applyAlignment="1">
      <alignment vertical="center" wrapText="1"/>
      <protection/>
    </xf>
    <xf numFmtId="0" fontId="34" fillId="0" borderId="26" xfId="562" applyFont="1" applyFill="1" applyBorder="1" applyAlignment="1">
      <alignment vertical="center" wrapText="1"/>
      <protection/>
    </xf>
    <xf numFmtId="3" fontId="34" fillId="0" borderId="43" xfId="562" applyNumberFormat="1" applyFont="1" applyFill="1" applyBorder="1" applyAlignment="1">
      <alignment vertical="center"/>
      <protection/>
    </xf>
    <xf numFmtId="3" fontId="12" fillId="0" borderId="43" xfId="562" applyNumberFormat="1" applyFont="1" applyFill="1" applyBorder="1" applyAlignment="1">
      <alignment vertical="center"/>
      <protection/>
    </xf>
    <xf numFmtId="3" fontId="12" fillId="0" borderId="47" xfId="562" applyNumberFormat="1" applyFont="1" applyFill="1" applyBorder="1" applyAlignment="1">
      <alignment vertical="center"/>
      <protection/>
    </xf>
    <xf numFmtId="3" fontId="34" fillId="0" borderId="47" xfId="562" applyNumberFormat="1" applyFont="1" applyFill="1" applyBorder="1" applyAlignment="1">
      <alignment vertical="center"/>
      <protection/>
    </xf>
    <xf numFmtId="0" fontId="34" fillId="0" borderId="44" xfId="562" applyFont="1" applyFill="1" applyBorder="1" applyAlignment="1">
      <alignment vertical="center" wrapText="1"/>
      <protection/>
    </xf>
    <xf numFmtId="0" fontId="6" fillId="8" borderId="48" xfId="562" applyFont="1" applyFill="1" applyBorder="1" applyAlignment="1">
      <alignment vertical="center" wrapText="1"/>
      <protection/>
    </xf>
    <xf numFmtId="0" fontId="6" fillId="8" borderId="43" xfId="562" applyFont="1" applyFill="1" applyBorder="1" applyAlignment="1">
      <alignment horizontal="center" vertical="center" wrapText="1"/>
      <protection/>
    </xf>
    <xf numFmtId="3" fontId="34" fillId="8" borderId="49" xfId="562" applyNumberFormat="1" applyFont="1" applyFill="1" applyBorder="1" applyAlignment="1">
      <alignment vertical="center"/>
      <protection/>
    </xf>
    <xf numFmtId="3" fontId="12" fillId="8" borderId="49" xfId="562" applyNumberFormat="1" applyFont="1" applyFill="1" applyBorder="1" applyAlignment="1">
      <alignment vertical="center"/>
      <protection/>
    </xf>
    <xf numFmtId="3" fontId="34" fillId="8" borderId="52" xfId="562" applyNumberFormat="1" applyFont="1" applyFill="1" applyBorder="1" applyAlignment="1">
      <alignment vertical="center"/>
      <protection/>
    </xf>
    <xf numFmtId="0" fontId="6" fillId="0" borderId="48" xfId="562" applyFont="1" applyFill="1" applyBorder="1" applyAlignment="1">
      <alignment vertical="center" wrapText="1"/>
      <protection/>
    </xf>
    <xf numFmtId="3" fontId="12" fillId="0" borderId="49" xfId="562" applyNumberFormat="1" applyFont="1" applyFill="1" applyBorder="1" applyAlignment="1">
      <alignment vertical="center"/>
      <protection/>
    </xf>
    <xf numFmtId="0" fontId="34" fillId="0" borderId="48" xfId="562" applyFont="1" applyBorder="1">
      <alignment/>
      <protection/>
    </xf>
    <xf numFmtId="0" fontId="6" fillId="0" borderId="26" xfId="562" applyFont="1" applyBorder="1">
      <alignment/>
      <protection/>
    </xf>
    <xf numFmtId="0" fontId="6" fillId="0" borderId="24" xfId="562" applyFont="1" applyBorder="1">
      <alignment/>
      <protection/>
    </xf>
    <xf numFmtId="0" fontId="6" fillId="0" borderId="0" xfId="562" applyFont="1" applyFill="1">
      <alignment/>
      <protection/>
    </xf>
    <xf numFmtId="0" fontId="6" fillId="0" borderId="0" xfId="562" applyFont="1" applyFill="1" applyAlignment="1">
      <alignment horizontal="center"/>
      <protection/>
    </xf>
    <xf numFmtId="1" fontId="6" fillId="0" borderId="0" xfId="562" applyNumberFormat="1" applyFont="1" applyFill="1">
      <alignment/>
      <protection/>
    </xf>
    <xf numFmtId="0" fontId="6" fillId="8" borderId="0" xfId="562" applyFont="1" applyFill="1" applyBorder="1">
      <alignment/>
      <protection/>
    </xf>
    <xf numFmtId="0" fontId="6" fillId="0" borderId="0" xfId="562" applyFont="1" applyAlignment="1">
      <alignment horizontal="left" wrapText="1"/>
      <protection/>
    </xf>
    <xf numFmtId="0" fontId="6" fillId="0" borderId="0" xfId="562" applyFont="1" applyAlignment="1">
      <alignment wrapText="1"/>
      <protection/>
    </xf>
  </cellXfs>
  <cellStyles count="675">
    <cellStyle name="Normal" xfId="0"/>
    <cellStyle name="20% - Accent1 2" xfId="15"/>
    <cellStyle name="20% - Accent1 2 2" xfId="16"/>
    <cellStyle name="20% - Accent1 2 3" xfId="17"/>
    <cellStyle name="20% - Accent1 2 4" xfId="18"/>
    <cellStyle name="20% - Accent1 2 5" xfId="19"/>
    <cellStyle name="20% - Accent1 2 6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2 2" xfId="27"/>
    <cellStyle name="20% - Accent2 2 2" xfId="28"/>
    <cellStyle name="20% - Accent2 2 3" xfId="29"/>
    <cellStyle name="20% - Accent2 2 4" xfId="30"/>
    <cellStyle name="20% - Accent2 2 5" xfId="31"/>
    <cellStyle name="20% - Accent2 2 6" xfId="32"/>
    <cellStyle name="20% - Accent2 3" xfId="33"/>
    <cellStyle name="20% - Accent2 3 2" xfId="34"/>
    <cellStyle name="20% - Accent2 3 3" xfId="35"/>
    <cellStyle name="20% - Accent2 3 4" xfId="36"/>
    <cellStyle name="20% - Accent2 3 5" xfId="37"/>
    <cellStyle name="20% - Accent2 3 6" xfId="38"/>
    <cellStyle name="20% - Accent3 2" xfId="39"/>
    <cellStyle name="20% - Accent3 2 2" xfId="40"/>
    <cellStyle name="20% - Accent3 2 3" xfId="41"/>
    <cellStyle name="20% - Accent3 2 4" xfId="42"/>
    <cellStyle name="20% - Accent3 2 5" xfId="43"/>
    <cellStyle name="20% - Accent3 2 6" xfId="44"/>
    <cellStyle name="20% - Accent3 3" xfId="45"/>
    <cellStyle name="20% - Accent3 3 2" xfId="46"/>
    <cellStyle name="20% - Accent3 3 3" xfId="47"/>
    <cellStyle name="20% - Accent3 3 4" xfId="48"/>
    <cellStyle name="20% - Accent3 3 5" xfId="49"/>
    <cellStyle name="20% - Accent3 3 6" xfId="50"/>
    <cellStyle name="20% - Accent4 2" xfId="51"/>
    <cellStyle name="20% - Accent4 2 2" xfId="52"/>
    <cellStyle name="20% - Accent4 2 3" xfId="53"/>
    <cellStyle name="20% - Accent4 2 4" xfId="54"/>
    <cellStyle name="20% - Accent4 2 5" xfId="55"/>
    <cellStyle name="20% - Accent4 2 6" xfId="56"/>
    <cellStyle name="20% - Accent4 3" xfId="57"/>
    <cellStyle name="20% - Accent4 3 2" xfId="58"/>
    <cellStyle name="20% - Accent4 3 3" xfId="59"/>
    <cellStyle name="20% - Accent4 3 4" xfId="60"/>
    <cellStyle name="20% - Accent4 3 5" xfId="61"/>
    <cellStyle name="20% - Accent4 3 6" xfId="62"/>
    <cellStyle name="20% - Accent5 2" xfId="63"/>
    <cellStyle name="20% - Accent5 2 2" xfId="64"/>
    <cellStyle name="20% - Accent5 2 3" xfId="65"/>
    <cellStyle name="20% - Accent5 2 4" xfId="66"/>
    <cellStyle name="20% - Accent5 2 5" xfId="67"/>
    <cellStyle name="20% - Accent5 2 6" xfId="68"/>
    <cellStyle name="20% - Accent5 3" xfId="69"/>
    <cellStyle name="20% - Accent5 3 2" xfId="70"/>
    <cellStyle name="20% - Accent5 3 3" xfId="71"/>
    <cellStyle name="20% - Accent5 3 4" xfId="72"/>
    <cellStyle name="20% - Accent5 3 5" xfId="73"/>
    <cellStyle name="20% - Accent5 3 6" xfId="74"/>
    <cellStyle name="20% - Accent6 2" xfId="75"/>
    <cellStyle name="20% - Accent6 2 2" xfId="76"/>
    <cellStyle name="20% - Accent6 2 3" xfId="77"/>
    <cellStyle name="20% - Accent6 2 4" xfId="78"/>
    <cellStyle name="20% - Accent6 2 5" xfId="79"/>
    <cellStyle name="20% - Accent6 2 6" xfId="80"/>
    <cellStyle name="20% - Accent6 3" xfId="81"/>
    <cellStyle name="20% - Accent6 3 2" xfId="82"/>
    <cellStyle name="20% - Accent6 3 3" xfId="83"/>
    <cellStyle name="20% - Accent6 3 4" xfId="84"/>
    <cellStyle name="20% - Accent6 3 5" xfId="85"/>
    <cellStyle name="20% - Accent6 3 6" xfId="86"/>
    <cellStyle name="20% – rõhk1" xfId="87"/>
    <cellStyle name="20% – rõhk1 10" xfId="88"/>
    <cellStyle name="20% – rõhk1 2" xfId="89"/>
    <cellStyle name="20% – rõhk1 2 2" xfId="90"/>
    <cellStyle name="20% – rõhk1 2 2 2" xfId="91"/>
    <cellStyle name="20% – rõhk1 2 3" xfId="92"/>
    <cellStyle name="20% – rõhk1 3" xfId="93"/>
    <cellStyle name="20% – rõhk1 3 2" xfId="94"/>
    <cellStyle name="20% – rõhk1 4" xfId="95"/>
    <cellStyle name="20% – rõhk1 4 2" xfId="96"/>
    <cellStyle name="20% – rõhk1 5" xfId="97"/>
    <cellStyle name="20% – rõhk1 5 2" xfId="98"/>
    <cellStyle name="20% – rõhk1 6" xfId="99"/>
    <cellStyle name="20% – rõhk1 6 2" xfId="100"/>
    <cellStyle name="20% – rõhk1 7" xfId="101"/>
    <cellStyle name="20% – rõhk1 7 2" xfId="102"/>
    <cellStyle name="20% – rõhk1 8" xfId="103"/>
    <cellStyle name="20% – rõhk1 8 2" xfId="104"/>
    <cellStyle name="20% – rõhk1 9" xfId="105"/>
    <cellStyle name="20% – rõhk2" xfId="106"/>
    <cellStyle name="20% – rõhk2 10" xfId="107"/>
    <cellStyle name="20% – rõhk2 2" xfId="108"/>
    <cellStyle name="20% – rõhk2 2 2" xfId="109"/>
    <cellStyle name="20% – rõhk2 2 2 2" xfId="110"/>
    <cellStyle name="20% – rõhk2 2 3" xfId="111"/>
    <cellStyle name="20% – rõhk2 3" xfId="112"/>
    <cellStyle name="20% – rõhk2 3 2" xfId="113"/>
    <cellStyle name="20% – rõhk2 4" xfId="114"/>
    <cellStyle name="20% – rõhk2 4 2" xfId="115"/>
    <cellStyle name="20% – rõhk2 5" xfId="116"/>
    <cellStyle name="20% – rõhk2 5 2" xfId="117"/>
    <cellStyle name="20% – rõhk2 6" xfId="118"/>
    <cellStyle name="20% – rõhk2 6 2" xfId="119"/>
    <cellStyle name="20% – rõhk2 7" xfId="120"/>
    <cellStyle name="20% – rõhk2 7 2" xfId="121"/>
    <cellStyle name="20% – rõhk2 8" xfId="122"/>
    <cellStyle name="20% – rõhk2 8 2" xfId="123"/>
    <cellStyle name="20% – rõhk2 9" xfId="124"/>
    <cellStyle name="20% – rõhk3" xfId="125"/>
    <cellStyle name="20% – rõhk3 10" xfId="126"/>
    <cellStyle name="20% – rõhk3 2" xfId="127"/>
    <cellStyle name="20% – rõhk3 2 2" xfId="128"/>
    <cellStyle name="20% – rõhk3 2 2 2" xfId="129"/>
    <cellStyle name="20% – rõhk3 2 3" xfId="130"/>
    <cellStyle name="20% – rõhk3 3" xfId="131"/>
    <cellStyle name="20% – rõhk3 3 2" xfId="132"/>
    <cellStyle name="20% – rõhk3 4" xfId="133"/>
    <cellStyle name="20% – rõhk3 4 2" xfId="134"/>
    <cellStyle name="20% – rõhk3 5" xfId="135"/>
    <cellStyle name="20% – rõhk3 5 2" xfId="136"/>
    <cellStyle name="20% – rõhk3 6" xfId="137"/>
    <cellStyle name="20% – rõhk3 6 2" xfId="138"/>
    <cellStyle name="20% – rõhk3 7" xfId="139"/>
    <cellStyle name="20% – rõhk3 7 2" xfId="140"/>
    <cellStyle name="20% – rõhk3 8" xfId="141"/>
    <cellStyle name="20% – rõhk3 8 2" xfId="142"/>
    <cellStyle name="20% – rõhk3 9" xfId="143"/>
    <cellStyle name="20% – rõhk4" xfId="144"/>
    <cellStyle name="20% – rõhk4 10" xfId="145"/>
    <cellStyle name="20% – rõhk4 2" xfId="146"/>
    <cellStyle name="20% – rõhk4 2 2" xfId="147"/>
    <cellStyle name="20% – rõhk4 2 2 2" xfId="148"/>
    <cellStyle name="20% – rõhk4 2 3" xfId="149"/>
    <cellStyle name="20% – rõhk4 3" xfId="150"/>
    <cellStyle name="20% – rõhk4 3 2" xfId="151"/>
    <cellStyle name="20% – rõhk4 4" xfId="152"/>
    <cellStyle name="20% – rõhk4 4 2" xfId="153"/>
    <cellStyle name="20% – rõhk4 5" xfId="154"/>
    <cellStyle name="20% – rõhk4 5 2" xfId="155"/>
    <cellStyle name="20% – rõhk4 6" xfId="156"/>
    <cellStyle name="20% – rõhk4 6 2" xfId="157"/>
    <cellStyle name="20% – rõhk4 7" xfId="158"/>
    <cellStyle name="20% – rõhk4 7 2" xfId="159"/>
    <cellStyle name="20% – rõhk4 8" xfId="160"/>
    <cellStyle name="20% – rõhk4 8 2" xfId="161"/>
    <cellStyle name="20% – rõhk4 9" xfId="162"/>
    <cellStyle name="20% – rõhk5" xfId="163"/>
    <cellStyle name="20% – rõhk5 10" xfId="164"/>
    <cellStyle name="20% – rõhk5 2" xfId="165"/>
    <cellStyle name="20% – rõhk5 2 2" xfId="166"/>
    <cellStyle name="20% – rõhk5 2 2 2" xfId="167"/>
    <cellStyle name="20% – rõhk5 2 3" xfId="168"/>
    <cellStyle name="20% – rõhk5 3" xfId="169"/>
    <cellStyle name="20% – rõhk5 3 2" xfId="170"/>
    <cellStyle name="20% – rõhk5 4" xfId="171"/>
    <cellStyle name="20% – rõhk5 4 2" xfId="172"/>
    <cellStyle name="20% – rõhk5 5" xfId="173"/>
    <cellStyle name="20% – rõhk5 5 2" xfId="174"/>
    <cellStyle name="20% – rõhk5 6" xfId="175"/>
    <cellStyle name="20% – rõhk5 6 2" xfId="176"/>
    <cellStyle name="20% – rõhk5 7" xfId="177"/>
    <cellStyle name="20% – rõhk5 7 2" xfId="178"/>
    <cellStyle name="20% – rõhk5 8" xfId="179"/>
    <cellStyle name="20% – rõhk5 8 2" xfId="180"/>
    <cellStyle name="20% – rõhk5 9" xfId="181"/>
    <cellStyle name="20% – rõhk6" xfId="182"/>
    <cellStyle name="20% – rõhk6 10" xfId="183"/>
    <cellStyle name="20% – rõhk6 2" xfId="184"/>
    <cellStyle name="20% – rõhk6 2 2" xfId="185"/>
    <cellStyle name="20% – rõhk6 2 2 2" xfId="186"/>
    <cellStyle name="20% – rõhk6 2 3" xfId="187"/>
    <cellStyle name="20% – rõhk6 3" xfId="188"/>
    <cellStyle name="20% – rõhk6 3 2" xfId="189"/>
    <cellStyle name="20% – rõhk6 4" xfId="190"/>
    <cellStyle name="20% – rõhk6 4 2" xfId="191"/>
    <cellStyle name="20% – rõhk6 5" xfId="192"/>
    <cellStyle name="20% – rõhk6 5 2" xfId="193"/>
    <cellStyle name="20% – rõhk6 6" xfId="194"/>
    <cellStyle name="20% – rõhk6 6 2" xfId="195"/>
    <cellStyle name="20% – rõhk6 7" xfId="196"/>
    <cellStyle name="20% – rõhk6 7 2" xfId="197"/>
    <cellStyle name="20% – rõhk6 8" xfId="198"/>
    <cellStyle name="20% – rõhk6 8 2" xfId="199"/>
    <cellStyle name="20% – rõhk6 9" xfId="200"/>
    <cellStyle name="20% - Акцент1" xfId="201"/>
    <cellStyle name="20% - Акцент1 2" xfId="202"/>
    <cellStyle name="20% - Акцент1 3" xfId="203"/>
    <cellStyle name="20% - Акцент1 4" xfId="204"/>
    <cellStyle name="20% - Акцент1 5" xfId="205"/>
    <cellStyle name="20% - Акцент1 6" xfId="206"/>
    <cellStyle name="20% - Акцент2" xfId="207"/>
    <cellStyle name="20% - Акцент2 2" xfId="208"/>
    <cellStyle name="20% - Акцент2 3" xfId="209"/>
    <cellStyle name="20% - Акцент2 4" xfId="210"/>
    <cellStyle name="20% - Акцент2 5" xfId="211"/>
    <cellStyle name="20% - Акцент2 6" xfId="212"/>
    <cellStyle name="20% - Акцент3" xfId="213"/>
    <cellStyle name="20% - Акцент3 2" xfId="214"/>
    <cellStyle name="20% - Акцент3 3" xfId="215"/>
    <cellStyle name="20% - Акцент3 4" xfId="216"/>
    <cellStyle name="20% - Акцент3 5" xfId="217"/>
    <cellStyle name="20% - Акцент3 6" xfId="218"/>
    <cellStyle name="20% - Акцент4" xfId="219"/>
    <cellStyle name="20% - Акцент4 2" xfId="220"/>
    <cellStyle name="20% - Акцент4 3" xfId="221"/>
    <cellStyle name="20% - Акцент4 4" xfId="222"/>
    <cellStyle name="20% - Акцент4 5" xfId="223"/>
    <cellStyle name="20% - Акцент4 6" xfId="224"/>
    <cellStyle name="20% - Акцент5" xfId="225"/>
    <cellStyle name="20% - Акцент5 2" xfId="226"/>
    <cellStyle name="20% - Акцент5 3" xfId="227"/>
    <cellStyle name="20% - Акцент5 4" xfId="228"/>
    <cellStyle name="20% - Акцент5 5" xfId="229"/>
    <cellStyle name="20% - Акцент5 6" xfId="230"/>
    <cellStyle name="20% - Акцент6" xfId="231"/>
    <cellStyle name="20% - Акцент6 2" xfId="232"/>
    <cellStyle name="20% - Акцент6 3" xfId="233"/>
    <cellStyle name="20% - Акцент6 4" xfId="234"/>
    <cellStyle name="20% - Акцент6 5" xfId="235"/>
    <cellStyle name="20% - Акцент6 6" xfId="236"/>
    <cellStyle name="40% - Accent1 2" xfId="237"/>
    <cellStyle name="40% - Accent1 2 2" xfId="238"/>
    <cellStyle name="40% - Accent1 2 3" xfId="239"/>
    <cellStyle name="40% - Accent1 2 4" xfId="240"/>
    <cellStyle name="40% - Accent1 2 5" xfId="241"/>
    <cellStyle name="40% - Accent1 2 6" xfId="242"/>
    <cellStyle name="40% - Accent1 3" xfId="243"/>
    <cellStyle name="40% - Accent1 3 2" xfId="244"/>
    <cellStyle name="40% - Accent1 3 3" xfId="245"/>
    <cellStyle name="40% - Accent1 3 4" xfId="246"/>
    <cellStyle name="40% - Accent1 3 5" xfId="247"/>
    <cellStyle name="40% - Accent1 3 6" xfId="248"/>
    <cellStyle name="40% - Accent2 2" xfId="249"/>
    <cellStyle name="40% - Accent2 2 2" xfId="250"/>
    <cellStyle name="40% - Accent2 2 3" xfId="251"/>
    <cellStyle name="40% - Accent2 2 4" xfId="252"/>
    <cellStyle name="40% - Accent2 2 5" xfId="253"/>
    <cellStyle name="40% - Accent2 2 6" xfId="254"/>
    <cellStyle name="40% - Accent2 3" xfId="255"/>
    <cellStyle name="40% - Accent2 3 2" xfId="256"/>
    <cellStyle name="40% - Accent2 3 3" xfId="257"/>
    <cellStyle name="40% - Accent2 3 4" xfId="258"/>
    <cellStyle name="40% - Accent2 3 5" xfId="259"/>
    <cellStyle name="40% - Accent2 3 6" xfId="260"/>
    <cellStyle name="40% - Accent3 2" xfId="261"/>
    <cellStyle name="40% - Accent3 2 2" xfId="262"/>
    <cellStyle name="40% - Accent3 2 3" xfId="263"/>
    <cellStyle name="40% - Accent3 2 4" xfId="264"/>
    <cellStyle name="40% - Accent3 2 5" xfId="265"/>
    <cellStyle name="40% - Accent3 2 6" xfId="266"/>
    <cellStyle name="40% - Accent3 3" xfId="267"/>
    <cellStyle name="40% - Accent3 3 2" xfId="268"/>
    <cellStyle name="40% - Accent3 3 3" xfId="269"/>
    <cellStyle name="40% - Accent3 3 4" xfId="270"/>
    <cellStyle name="40% - Accent3 3 5" xfId="271"/>
    <cellStyle name="40% - Accent3 3 6" xfId="272"/>
    <cellStyle name="40% - Accent4 2" xfId="273"/>
    <cellStyle name="40% - Accent4 2 2" xfId="274"/>
    <cellStyle name="40% - Accent4 2 3" xfId="275"/>
    <cellStyle name="40% - Accent4 2 4" xfId="276"/>
    <cellStyle name="40% - Accent4 2 5" xfId="277"/>
    <cellStyle name="40% - Accent4 2 6" xfId="278"/>
    <cellStyle name="40% - Accent4 3" xfId="279"/>
    <cellStyle name="40% - Accent4 3 2" xfId="280"/>
    <cellStyle name="40% - Accent4 3 3" xfId="281"/>
    <cellStyle name="40% - Accent4 3 4" xfId="282"/>
    <cellStyle name="40% - Accent4 3 5" xfId="283"/>
    <cellStyle name="40% - Accent4 3 6" xfId="284"/>
    <cellStyle name="40% - Accent5 2" xfId="285"/>
    <cellStyle name="40% - Accent5 2 2" xfId="286"/>
    <cellStyle name="40% - Accent5 2 3" xfId="287"/>
    <cellStyle name="40% - Accent5 2 4" xfId="288"/>
    <cellStyle name="40% - Accent5 2 5" xfId="289"/>
    <cellStyle name="40% - Accent5 2 6" xfId="290"/>
    <cellStyle name="40% - Accent5 3" xfId="291"/>
    <cellStyle name="40% - Accent5 3 2" xfId="292"/>
    <cellStyle name="40% - Accent5 3 3" xfId="293"/>
    <cellStyle name="40% - Accent5 3 4" xfId="294"/>
    <cellStyle name="40% - Accent5 3 5" xfId="295"/>
    <cellStyle name="40% - Accent5 3 6" xfId="296"/>
    <cellStyle name="40% - Accent6 2" xfId="297"/>
    <cellStyle name="40% - Accent6 2 2" xfId="298"/>
    <cellStyle name="40% - Accent6 2 3" xfId="299"/>
    <cellStyle name="40% - Accent6 2 4" xfId="300"/>
    <cellStyle name="40% - Accent6 2 5" xfId="301"/>
    <cellStyle name="40% - Accent6 2 6" xfId="302"/>
    <cellStyle name="40% - Accent6 3" xfId="303"/>
    <cellStyle name="40% - Accent6 3 2" xfId="304"/>
    <cellStyle name="40% - Accent6 3 3" xfId="305"/>
    <cellStyle name="40% - Accent6 3 4" xfId="306"/>
    <cellStyle name="40% - Accent6 3 5" xfId="307"/>
    <cellStyle name="40% - Accent6 3 6" xfId="308"/>
    <cellStyle name="40% – rõhk1" xfId="309"/>
    <cellStyle name="40% – rõhk1 10" xfId="310"/>
    <cellStyle name="40% – rõhk1 2" xfId="311"/>
    <cellStyle name="40% – rõhk1 2 2" xfId="312"/>
    <cellStyle name="40% – rõhk1 2 2 2" xfId="313"/>
    <cellStyle name="40% – rõhk1 2 3" xfId="314"/>
    <cellStyle name="40% – rõhk1 3" xfId="315"/>
    <cellStyle name="40% – rõhk1 3 2" xfId="316"/>
    <cellStyle name="40% – rõhk1 4" xfId="317"/>
    <cellStyle name="40% – rõhk1 4 2" xfId="318"/>
    <cellStyle name="40% – rõhk1 5" xfId="319"/>
    <cellStyle name="40% – rõhk1 5 2" xfId="320"/>
    <cellStyle name="40% – rõhk1 6" xfId="321"/>
    <cellStyle name="40% – rõhk1 6 2" xfId="322"/>
    <cellStyle name="40% – rõhk1 7" xfId="323"/>
    <cellStyle name="40% – rõhk1 7 2" xfId="324"/>
    <cellStyle name="40% – rõhk1 8" xfId="325"/>
    <cellStyle name="40% – rõhk1 8 2" xfId="326"/>
    <cellStyle name="40% – rõhk1 9" xfId="327"/>
    <cellStyle name="40% – rõhk2" xfId="328"/>
    <cellStyle name="40% – rõhk2 10" xfId="329"/>
    <cellStyle name="40% – rõhk2 2" xfId="330"/>
    <cellStyle name="40% – rõhk2 2 2" xfId="331"/>
    <cellStyle name="40% – rõhk2 2 2 2" xfId="332"/>
    <cellStyle name="40% – rõhk2 2 3" xfId="333"/>
    <cellStyle name="40% – rõhk2 3" xfId="334"/>
    <cellStyle name="40% – rõhk2 3 2" xfId="335"/>
    <cellStyle name="40% – rõhk2 4" xfId="336"/>
    <cellStyle name="40% – rõhk2 4 2" xfId="337"/>
    <cellStyle name="40% – rõhk2 5" xfId="338"/>
    <cellStyle name="40% – rõhk2 5 2" xfId="339"/>
    <cellStyle name="40% – rõhk2 6" xfId="340"/>
    <cellStyle name="40% – rõhk2 6 2" xfId="341"/>
    <cellStyle name="40% – rõhk2 7" xfId="342"/>
    <cellStyle name="40% – rõhk2 7 2" xfId="343"/>
    <cellStyle name="40% – rõhk2 8" xfId="344"/>
    <cellStyle name="40% – rõhk2 8 2" xfId="345"/>
    <cellStyle name="40% – rõhk2 9" xfId="346"/>
    <cellStyle name="40% – rõhk3" xfId="347"/>
    <cellStyle name="40% – rõhk3 10" xfId="348"/>
    <cellStyle name="40% – rõhk3 2" xfId="349"/>
    <cellStyle name="40% – rõhk3 2 2" xfId="350"/>
    <cellStyle name="40% – rõhk3 2 2 2" xfId="351"/>
    <cellStyle name="40% – rõhk3 2 3" xfId="352"/>
    <cellStyle name="40% – rõhk3 3" xfId="353"/>
    <cellStyle name="40% – rõhk3 3 2" xfId="354"/>
    <cellStyle name="40% – rõhk3 4" xfId="355"/>
    <cellStyle name="40% – rõhk3 4 2" xfId="356"/>
    <cellStyle name="40% – rõhk3 5" xfId="357"/>
    <cellStyle name="40% – rõhk3 5 2" xfId="358"/>
    <cellStyle name="40% – rõhk3 6" xfId="359"/>
    <cellStyle name="40% – rõhk3 6 2" xfId="360"/>
    <cellStyle name="40% – rõhk3 7" xfId="361"/>
    <cellStyle name="40% – rõhk3 7 2" xfId="362"/>
    <cellStyle name="40% – rõhk3 8" xfId="363"/>
    <cellStyle name="40% – rõhk3 8 2" xfId="364"/>
    <cellStyle name="40% – rõhk3 9" xfId="365"/>
    <cellStyle name="40% – rõhk4" xfId="366"/>
    <cellStyle name="40% – rõhk4 10" xfId="367"/>
    <cellStyle name="40% – rõhk4 2" xfId="368"/>
    <cellStyle name="40% – rõhk4 2 2" xfId="369"/>
    <cellStyle name="40% – rõhk4 2 2 2" xfId="370"/>
    <cellStyle name="40% – rõhk4 2 3" xfId="371"/>
    <cellStyle name="40% – rõhk4 3" xfId="372"/>
    <cellStyle name="40% – rõhk4 3 2" xfId="373"/>
    <cellStyle name="40% – rõhk4 4" xfId="374"/>
    <cellStyle name="40% – rõhk4 4 2" xfId="375"/>
    <cellStyle name="40% – rõhk4 5" xfId="376"/>
    <cellStyle name="40% – rõhk4 5 2" xfId="377"/>
    <cellStyle name="40% – rõhk4 6" xfId="378"/>
    <cellStyle name="40% – rõhk4 6 2" xfId="379"/>
    <cellStyle name="40% – rõhk4 7" xfId="380"/>
    <cellStyle name="40% – rõhk4 7 2" xfId="381"/>
    <cellStyle name="40% – rõhk4 8" xfId="382"/>
    <cellStyle name="40% – rõhk4 8 2" xfId="383"/>
    <cellStyle name="40% – rõhk4 9" xfId="384"/>
    <cellStyle name="40% – rõhk5" xfId="385"/>
    <cellStyle name="40% – rõhk5 10" xfId="386"/>
    <cellStyle name="40% – rõhk5 2" xfId="387"/>
    <cellStyle name="40% – rõhk5 2 2" xfId="388"/>
    <cellStyle name="40% – rõhk5 2 2 2" xfId="389"/>
    <cellStyle name="40% – rõhk5 2 3" xfId="390"/>
    <cellStyle name="40% – rõhk5 3" xfId="391"/>
    <cellStyle name="40% – rõhk5 3 2" xfId="392"/>
    <cellStyle name="40% – rõhk5 4" xfId="393"/>
    <cellStyle name="40% – rõhk5 4 2" xfId="394"/>
    <cellStyle name="40% – rõhk5 5" xfId="395"/>
    <cellStyle name="40% – rõhk5 5 2" xfId="396"/>
    <cellStyle name="40% – rõhk5 6" xfId="397"/>
    <cellStyle name="40% – rõhk5 6 2" xfId="398"/>
    <cellStyle name="40% – rõhk5 7" xfId="399"/>
    <cellStyle name="40% – rõhk5 7 2" xfId="400"/>
    <cellStyle name="40% – rõhk5 8" xfId="401"/>
    <cellStyle name="40% – rõhk5 8 2" xfId="402"/>
    <cellStyle name="40% – rõhk5 9" xfId="403"/>
    <cellStyle name="40% – rõhk6" xfId="404"/>
    <cellStyle name="40% – rõhk6 10" xfId="405"/>
    <cellStyle name="40% – rõhk6 2" xfId="406"/>
    <cellStyle name="40% – rõhk6 2 2" xfId="407"/>
    <cellStyle name="40% – rõhk6 2 2 2" xfId="408"/>
    <cellStyle name="40% – rõhk6 2 3" xfId="409"/>
    <cellStyle name="40% – rõhk6 3" xfId="410"/>
    <cellStyle name="40% – rõhk6 3 2" xfId="411"/>
    <cellStyle name="40% – rõhk6 4" xfId="412"/>
    <cellStyle name="40% – rõhk6 4 2" xfId="413"/>
    <cellStyle name="40% – rõhk6 5" xfId="414"/>
    <cellStyle name="40% – rõhk6 5 2" xfId="415"/>
    <cellStyle name="40% – rõhk6 6" xfId="416"/>
    <cellStyle name="40% – rõhk6 6 2" xfId="417"/>
    <cellStyle name="40% – rõhk6 7" xfId="418"/>
    <cellStyle name="40% – rõhk6 7 2" xfId="419"/>
    <cellStyle name="40% – rõhk6 8" xfId="420"/>
    <cellStyle name="40% – rõhk6 8 2" xfId="421"/>
    <cellStyle name="40% – rõhk6 9" xfId="422"/>
    <cellStyle name="40% - Акцент1" xfId="423"/>
    <cellStyle name="40% - Акцент1 2" xfId="424"/>
    <cellStyle name="40% - Акцент1 3" xfId="425"/>
    <cellStyle name="40% - Акцент1 4" xfId="426"/>
    <cellStyle name="40% - Акцент1 5" xfId="427"/>
    <cellStyle name="40% - Акцент1 6" xfId="428"/>
    <cellStyle name="40% - Акцент2" xfId="429"/>
    <cellStyle name="40% - Акцент2 2" xfId="430"/>
    <cellStyle name="40% - Акцент2 3" xfId="431"/>
    <cellStyle name="40% - Акцент2 4" xfId="432"/>
    <cellStyle name="40% - Акцент2 5" xfId="433"/>
    <cellStyle name="40% - Акцент2 6" xfId="434"/>
    <cellStyle name="40% - Акцент3" xfId="435"/>
    <cellStyle name="40% - Акцент3 2" xfId="436"/>
    <cellStyle name="40% - Акцент3 3" xfId="437"/>
    <cellStyle name="40% - Акцент3 4" xfId="438"/>
    <cellStyle name="40% - Акцент3 5" xfId="439"/>
    <cellStyle name="40% - Акцент3 6" xfId="440"/>
    <cellStyle name="40% - Акцент4" xfId="441"/>
    <cellStyle name="40% - Акцент4 2" xfId="442"/>
    <cellStyle name="40% - Акцент4 3" xfId="443"/>
    <cellStyle name="40% - Акцент4 4" xfId="444"/>
    <cellStyle name="40% - Акцент4 5" xfId="445"/>
    <cellStyle name="40% - Акцент4 6" xfId="446"/>
    <cellStyle name="40% - Акцент5" xfId="447"/>
    <cellStyle name="40% - Акцент5 2" xfId="448"/>
    <cellStyle name="40% - Акцент5 3" xfId="449"/>
    <cellStyle name="40% - Акцент5 4" xfId="450"/>
    <cellStyle name="40% - Акцент5 5" xfId="451"/>
    <cellStyle name="40% - Акцент5 6" xfId="452"/>
    <cellStyle name="40% - Акцент6" xfId="453"/>
    <cellStyle name="40% - Акцент6 2" xfId="454"/>
    <cellStyle name="40% - Акцент6 3" xfId="455"/>
    <cellStyle name="40% - Акцент6 4" xfId="456"/>
    <cellStyle name="40% - Акцент6 5" xfId="457"/>
    <cellStyle name="40% - Акцент6 6" xfId="458"/>
    <cellStyle name="60% - Accent1 2" xfId="459"/>
    <cellStyle name="60% - Accent1 3" xfId="460"/>
    <cellStyle name="60% - Accent2 2" xfId="461"/>
    <cellStyle name="60% - Accent2 3" xfId="462"/>
    <cellStyle name="60% - Accent3 2" xfId="463"/>
    <cellStyle name="60% - Accent3 3" xfId="464"/>
    <cellStyle name="60% - Accent4 2" xfId="465"/>
    <cellStyle name="60% - Accent4 3" xfId="466"/>
    <cellStyle name="60% - Accent5 2" xfId="467"/>
    <cellStyle name="60% - Accent5 3" xfId="468"/>
    <cellStyle name="60% - Accent6 2" xfId="469"/>
    <cellStyle name="60% - Accent6 3" xfId="470"/>
    <cellStyle name="60% – rõhk1" xfId="471"/>
    <cellStyle name="60% – rõhk2" xfId="472"/>
    <cellStyle name="60% – rõhk3" xfId="473"/>
    <cellStyle name="60% – rõhk4" xfId="474"/>
    <cellStyle name="60% – rõhk5" xfId="475"/>
    <cellStyle name="60% – rõhk6" xfId="476"/>
    <cellStyle name="60% - Акцент1" xfId="477"/>
    <cellStyle name="60% - Акцент2" xfId="478"/>
    <cellStyle name="60% - Акцент3" xfId="479"/>
    <cellStyle name="60% - Акцент4" xfId="480"/>
    <cellStyle name="60% - Акцент5" xfId="481"/>
    <cellStyle name="60% - Акцент6" xfId="482"/>
    <cellStyle name="Accent1 2" xfId="483"/>
    <cellStyle name="Accent1 3" xfId="484"/>
    <cellStyle name="Accent2 2" xfId="485"/>
    <cellStyle name="Accent2 3" xfId="486"/>
    <cellStyle name="Accent3 2" xfId="487"/>
    <cellStyle name="Accent3 3" xfId="488"/>
    <cellStyle name="Accent4 2" xfId="489"/>
    <cellStyle name="Accent4 3" xfId="490"/>
    <cellStyle name="Accent5 2" xfId="491"/>
    <cellStyle name="Accent5 3" xfId="492"/>
    <cellStyle name="Accent6 2" xfId="493"/>
    <cellStyle name="Accent6 3" xfId="494"/>
    <cellStyle name="Arvutus" xfId="495"/>
    <cellStyle name="Bad 2" xfId="496"/>
    <cellStyle name="Bad 3" xfId="497"/>
    <cellStyle name="Calculation 2" xfId="498"/>
    <cellStyle name="Calculation 3" xfId="499"/>
    <cellStyle name="Check Cell 2" xfId="500"/>
    <cellStyle name="Check Cell 3" xfId="501"/>
    <cellStyle name="Comma 2" xfId="502"/>
    <cellStyle name="Comma 2 2" xfId="503"/>
    <cellStyle name="Comma 2 2 2" xfId="504"/>
    <cellStyle name="Comma 2 3" xfId="505"/>
    <cellStyle name="Comma 2 4" xfId="506"/>
    <cellStyle name="Comma 2 5" xfId="507"/>
    <cellStyle name="Comma 2 6" xfId="508"/>
    <cellStyle name="Comma 3" xfId="509"/>
    <cellStyle name="Comma 3 2" xfId="510"/>
    <cellStyle name="Explanatory Text 2" xfId="511"/>
    <cellStyle name="Explanatory Text 3" xfId="512"/>
    <cellStyle name="Good 2" xfId="513"/>
    <cellStyle name="Good 3" xfId="514"/>
    <cellStyle name="Halb" xfId="515"/>
    <cellStyle name="Hea" xfId="516"/>
    <cellStyle name="Heading 1 2" xfId="517"/>
    <cellStyle name="Heading 1 3" xfId="518"/>
    <cellStyle name="Heading 2 2" xfId="519"/>
    <cellStyle name="Heading 2 3" xfId="520"/>
    <cellStyle name="Heading 3 2" xfId="521"/>
    <cellStyle name="Heading 3 3" xfId="522"/>
    <cellStyle name="Heading 4 2" xfId="523"/>
    <cellStyle name="Heading 4 3" xfId="524"/>
    <cellStyle name="Hoiatuse tekst" xfId="525"/>
    <cellStyle name="Hoiatustekst" xfId="526"/>
    <cellStyle name="Input 2" xfId="527"/>
    <cellStyle name="Input 3" xfId="528"/>
    <cellStyle name="Kokku" xfId="529"/>
    <cellStyle name="Comma" xfId="530"/>
    <cellStyle name="Comma [0]" xfId="531"/>
    <cellStyle name="Kontrolli lahtrit" xfId="532"/>
    <cellStyle name="Lingitud lahter" xfId="533"/>
    <cellStyle name="Linked Cell 2" xfId="534"/>
    <cellStyle name="Linked Cell 3" xfId="535"/>
    <cellStyle name="Märkus" xfId="536"/>
    <cellStyle name="Märkus 2" xfId="537"/>
    <cellStyle name="Märkus 2 2" xfId="538"/>
    <cellStyle name="Märkus 2 2 2" xfId="539"/>
    <cellStyle name="Märkus 2 3" xfId="540"/>
    <cellStyle name="Märkus 3" xfId="541"/>
    <cellStyle name="Märkus 3 2" xfId="542"/>
    <cellStyle name="Märkus 3 2 2" xfId="543"/>
    <cellStyle name="Märkus 3 3" xfId="544"/>
    <cellStyle name="Märkus 4" xfId="545"/>
    <cellStyle name="Märkus 4 2" xfId="546"/>
    <cellStyle name="Märkus 5" xfId="547"/>
    <cellStyle name="Märkus 5 2" xfId="548"/>
    <cellStyle name="Märkus 6" xfId="549"/>
    <cellStyle name="Märkus 6 2" xfId="550"/>
    <cellStyle name="Märkus 7" xfId="551"/>
    <cellStyle name="Märkus 7 2" xfId="552"/>
    <cellStyle name="Märkus 8" xfId="553"/>
    <cellStyle name="Märkus 8 2" xfId="554"/>
    <cellStyle name="Märkus 9" xfId="555"/>
    <cellStyle name="Neutraalne" xfId="556"/>
    <cellStyle name="Neutral 2" xfId="557"/>
    <cellStyle name="Neutral 3" xfId="558"/>
    <cellStyle name="Normaallaad 10" xfId="559"/>
    <cellStyle name="Normaallaad 10 2" xfId="560"/>
    <cellStyle name="Normaallaad 11" xfId="561"/>
    <cellStyle name="Normaallaad 2" xfId="562"/>
    <cellStyle name="Normaallaad 2 2" xfId="563"/>
    <cellStyle name="Normaallaad 2 2 2" xfId="564"/>
    <cellStyle name="Normaallaad 2 3" xfId="565"/>
    <cellStyle name="Normaallaad 3" xfId="566"/>
    <cellStyle name="Normaallaad 3 2" xfId="567"/>
    <cellStyle name="Normaallaad 3 2 2" xfId="568"/>
    <cellStyle name="Normaallaad 3 3" xfId="569"/>
    <cellStyle name="Normaallaad 4" xfId="570"/>
    <cellStyle name="Normaallaad 4 2" xfId="571"/>
    <cellStyle name="Normaallaad 4 2 2" xfId="572"/>
    <cellStyle name="Normaallaad 4 3" xfId="573"/>
    <cellStyle name="Normaallaad 5" xfId="574"/>
    <cellStyle name="Normaallaad 5 2" xfId="575"/>
    <cellStyle name="Normaallaad 6" xfId="576"/>
    <cellStyle name="Normaallaad 6 2" xfId="577"/>
    <cellStyle name="Normaallaad 7" xfId="578"/>
    <cellStyle name="Normaallaad 7 2" xfId="579"/>
    <cellStyle name="Normaallaad 8" xfId="580"/>
    <cellStyle name="Normaallaad 8 2" xfId="581"/>
    <cellStyle name="Normaallaad 9" xfId="582"/>
    <cellStyle name="Normaallaad 9 2" xfId="583"/>
    <cellStyle name="Normaallaad_Leht1" xfId="584"/>
    <cellStyle name="Normal 2" xfId="585"/>
    <cellStyle name="Normal 2 10" xfId="586"/>
    <cellStyle name="Normal 2 11" xfId="587"/>
    <cellStyle name="Normal 2 2" xfId="588"/>
    <cellStyle name="Normal 2 2 2" xfId="589"/>
    <cellStyle name="Normal 2 2 2 2" xfId="590"/>
    <cellStyle name="Normal 2 2 3" xfId="591"/>
    <cellStyle name="Normal 2 2 4" xfId="592"/>
    <cellStyle name="Normal 2 3" xfId="593"/>
    <cellStyle name="Normal 2 3 2" xfId="594"/>
    <cellStyle name="Normal 2 3 3" xfId="595"/>
    <cellStyle name="Normal 2 4" xfId="596"/>
    <cellStyle name="Normal 2 4 2" xfId="597"/>
    <cellStyle name="Normal 2 4 3" xfId="598"/>
    <cellStyle name="Normal 2 5" xfId="599"/>
    <cellStyle name="Normal 2 6" xfId="600"/>
    <cellStyle name="Normal 2 7" xfId="601"/>
    <cellStyle name="Normal 2 8" xfId="602"/>
    <cellStyle name="Normal 2 9" xfId="603"/>
    <cellStyle name="Normal 21" xfId="604"/>
    <cellStyle name="Normal 3" xfId="605"/>
    <cellStyle name="Normal 3 2" xfId="606"/>
    <cellStyle name="Normal 3 2 2" xfId="607"/>
    <cellStyle name="Normal 3 2 3" xfId="608"/>
    <cellStyle name="Normal 3 3" xfId="609"/>
    <cellStyle name="Normal 3 3 2" xfId="610"/>
    <cellStyle name="Normal 3 3 3" xfId="611"/>
    <cellStyle name="Normal 3 4" xfId="612"/>
    <cellStyle name="Normal 3 4 2" xfId="613"/>
    <cellStyle name="Normal 4" xfId="614"/>
    <cellStyle name="Normal 4 2" xfId="615"/>
    <cellStyle name="Normal 4 3" xfId="616"/>
    <cellStyle name="Normal 4 4" xfId="617"/>
    <cellStyle name="Normal 5" xfId="618"/>
    <cellStyle name="Normal 6" xfId="619"/>
    <cellStyle name="Normal 6 2" xfId="620"/>
    <cellStyle name="Normal 6 3" xfId="621"/>
    <cellStyle name="Normal 6 4" xfId="622"/>
    <cellStyle name="Normal 7" xfId="623"/>
    <cellStyle name="Normal 8" xfId="624"/>
    <cellStyle name="Normal_Sheet1 2" xfId="625"/>
    <cellStyle name="Note 2" xfId="626"/>
    <cellStyle name="Note 3" xfId="627"/>
    <cellStyle name="Output 2" xfId="628"/>
    <cellStyle name="Output 3" xfId="629"/>
    <cellStyle name="Pealkiri" xfId="630"/>
    <cellStyle name="Pealkiri 1" xfId="631"/>
    <cellStyle name="Pealkiri 2" xfId="632"/>
    <cellStyle name="Pealkiri 3" xfId="633"/>
    <cellStyle name="Pealkiri 4" xfId="634"/>
    <cellStyle name="Percent 2" xfId="635"/>
    <cellStyle name="Percent 2 2" xfId="636"/>
    <cellStyle name="Percent 2 3" xfId="637"/>
    <cellStyle name="Percent 2 4" xfId="638"/>
    <cellStyle name="Percent 2 5" xfId="639"/>
    <cellStyle name="Percent 2 6" xfId="640"/>
    <cellStyle name="Percent 3" xfId="641"/>
    <cellStyle name="Percent 3 2" xfId="642"/>
    <cellStyle name="Percent 3 3" xfId="643"/>
    <cellStyle name="Percent 3 4" xfId="644"/>
    <cellStyle name="Percent 4 2" xfId="645"/>
    <cellStyle name="Percent 4 3" xfId="646"/>
    <cellStyle name="Percent 4 4" xfId="647"/>
    <cellStyle name="Percent" xfId="648"/>
    <cellStyle name="Rõhk1" xfId="649"/>
    <cellStyle name="Rõhk2" xfId="650"/>
    <cellStyle name="Rõhk3" xfId="651"/>
    <cellStyle name="Rõhk4" xfId="652"/>
    <cellStyle name="Rõhk5" xfId="653"/>
    <cellStyle name="Rõhk6" xfId="654"/>
    <cellStyle name="Selgitav tekst" xfId="655"/>
    <cellStyle name="Sisestus" xfId="656"/>
    <cellStyle name="Title 2" xfId="657"/>
    <cellStyle name="Title 3" xfId="658"/>
    <cellStyle name="Total 2" xfId="659"/>
    <cellStyle name="Total 3" xfId="660"/>
    <cellStyle name="Currency" xfId="661"/>
    <cellStyle name="Currency [0]" xfId="662"/>
    <cellStyle name="Warning Text 2" xfId="663"/>
    <cellStyle name="Warning Text 3" xfId="664"/>
    <cellStyle name="Väljund" xfId="665"/>
    <cellStyle name="Акцент1" xfId="666"/>
    <cellStyle name="Акцент2" xfId="667"/>
    <cellStyle name="Акцент3" xfId="668"/>
    <cellStyle name="Акцент4" xfId="669"/>
    <cellStyle name="Акцент5" xfId="670"/>
    <cellStyle name="Акцент6" xfId="671"/>
    <cellStyle name="Ввод " xfId="672"/>
    <cellStyle name="Вывод" xfId="673"/>
    <cellStyle name="Вычисление" xfId="674"/>
    <cellStyle name="Заголовок 1" xfId="675"/>
    <cellStyle name="Заголовок 2" xfId="676"/>
    <cellStyle name="Заголовок 3" xfId="677"/>
    <cellStyle name="Заголовок 4" xfId="678"/>
    <cellStyle name="Итог" xfId="679"/>
    <cellStyle name="Контрольная ячейка" xfId="680"/>
    <cellStyle name="Название" xfId="681"/>
    <cellStyle name="Нейтральный" xfId="682"/>
    <cellStyle name="Плохой" xfId="683"/>
    <cellStyle name="Пояснение" xfId="684"/>
    <cellStyle name="Примечание" xfId="685"/>
    <cellStyle name="Связанная ячейка" xfId="686"/>
    <cellStyle name="Текст предупреждения" xfId="687"/>
    <cellStyle name="Хороший" xfId="6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2" width="9.140625" style="11" customWidth="1"/>
    <col min="3" max="3" width="36.140625" style="11" bestFit="1" customWidth="1"/>
    <col min="4" max="4" width="11.140625" style="11" bestFit="1" customWidth="1"/>
    <col min="5" max="5" width="11.28125" style="11" customWidth="1"/>
    <col min="6" max="6" width="9.140625" style="11" customWidth="1"/>
    <col min="7" max="7" width="10.28125" style="11" customWidth="1"/>
    <col min="8" max="16384" width="9.140625" style="11" customWidth="1"/>
  </cols>
  <sheetData>
    <row r="1" spans="1:9" ht="15" thickBot="1">
      <c r="A1" s="95" t="s">
        <v>291</v>
      </c>
      <c r="B1" s="96"/>
      <c r="C1" s="97"/>
      <c r="D1" s="98"/>
      <c r="E1" s="98"/>
      <c r="F1" s="1"/>
      <c r="G1" s="99"/>
      <c r="H1" s="1"/>
      <c r="I1" s="1"/>
    </row>
    <row r="2" spans="1:9" ht="15.75">
      <c r="A2" s="241" t="s">
        <v>56</v>
      </c>
      <c r="B2" s="242"/>
      <c r="C2" s="242"/>
      <c r="D2" s="242"/>
      <c r="E2" s="242"/>
      <c r="F2" s="242"/>
      <c r="G2" s="1"/>
      <c r="H2" s="1"/>
      <c r="I2" s="1"/>
    </row>
    <row r="3" spans="1:9" ht="12.75">
      <c r="A3" s="182"/>
      <c r="B3" s="183" t="s">
        <v>57</v>
      </c>
      <c r="C3" s="184">
        <v>42643</v>
      </c>
      <c r="D3" s="243" t="s">
        <v>58</v>
      </c>
      <c r="E3" s="245" t="s">
        <v>59</v>
      </c>
      <c r="F3" s="247" t="s">
        <v>60</v>
      </c>
      <c r="G3" s="203">
        <v>2015</v>
      </c>
      <c r="H3" s="249" t="s">
        <v>61</v>
      </c>
      <c r="I3" s="247"/>
    </row>
    <row r="4" spans="1:9" ht="12.75">
      <c r="A4" s="150" t="s">
        <v>62</v>
      </c>
      <c r="B4" s="151"/>
      <c r="C4" s="185" t="s">
        <v>63</v>
      </c>
      <c r="D4" s="244"/>
      <c r="E4" s="246"/>
      <c r="F4" s="248"/>
      <c r="G4" s="204" t="s">
        <v>64</v>
      </c>
      <c r="H4" s="176" t="s">
        <v>65</v>
      </c>
      <c r="I4" s="177" t="s">
        <v>60</v>
      </c>
    </row>
    <row r="5" spans="1:9" ht="12.75">
      <c r="A5" s="208"/>
      <c r="B5" s="209" t="s">
        <v>66</v>
      </c>
      <c r="C5" s="210"/>
      <c r="D5" s="211">
        <v>124316381</v>
      </c>
      <c r="E5" s="212">
        <v>100450191.22</v>
      </c>
      <c r="F5" s="213">
        <v>0.8080205553924547</v>
      </c>
      <c r="G5" s="211">
        <v>89930403.14000002</v>
      </c>
      <c r="H5" s="212">
        <v>10519788.079999983</v>
      </c>
      <c r="I5" s="213">
        <v>0.11697699234844086</v>
      </c>
    </row>
    <row r="6" spans="1:9" ht="12.75">
      <c r="A6" s="186">
        <v>30</v>
      </c>
      <c r="B6" s="179" t="s">
        <v>67</v>
      </c>
      <c r="C6" s="187"/>
      <c r="D6" s="198">
        <v>66077500</v>
      </c>
      <c r="E6" s="180">
        <v>50371806.379999995</v>
      </c>
      <c r="F6" s="199">
        <v>0.7623140460822518</v>
      </c>
      <c r="G6" s="198">
        <v>47316247.04000001</v>
      </c>
      <c r="H6" s="180">
        <v>3055559.3399999887</v>
      </c>
      <c r="I6" s="199">
        <v>0.06457738157924683</v>
      </c>
    </row>
    <row r="7" spans="1:9" ht="12.75">
      <c r="A7" s="131">
        <v>3000</v>
      </c>
      <c r="B7" s="2"/>
      <c r="C7" s="188" t="s">
        <v>68</v>
      </c>
      <c r="D7" s="153">
        <v>64200000</v>
      </c>
      <c r="E7" s="83">
        <v>48984120</v>
      </c>
      <c r="F7" s="132">
        <v>0.762992523364486</v>
      </c>
      <c r="G7" s="153">
        <v>46054137</v>
      </c>
      <c r="H7" s="83">
        <v>2929983</v>
      </c>
      <c r="I7" s="132">
        <v>0.06362040830338433</v>
      </c>
    </row>
    <row r="8" spans="1:9" ht="12.75">
      <c r="A8" s="131">
        <v>3030</v>
      </c>
      <c r="B8" s="2"/>
      <c r="C8" s="188" t="s">
        <v>69</v>
      </c>
      <c r="D8" s="153">
        <v>700000</v>
      </c>
      <c r="E8" s="83">
        <v>419374</v>
      </c>
      <c r="F8" s="132">
        <v>0.5991057142857142</v>
      </c>
      <c r="G8" s="153">
        <v>417830</v>
      </c>
      <c r="H8" s="83">
        <v>1544</v>
      </c>
      <c r="I8" s="132">
        <v>0.0036952827705047505</v>
      </c>
    </row>
    <row r="9" spans="1:9" ht="12.75">
      <c r="A9" s="131">
        <v>3044</v>
      </c>
      <c r="B9" s="2"/>
      <c r="C9" s="188" t="s">
        <v>70</v>
      </c>
      <c r="D9" s="153">
        <v>405000</v>
      </c>
      <c r="E9" s="83">
        <v>329700.64</v>
      </c>
      <c r="F9" s="132">
        <v>0.8140756543209877</v>
      </c>
      <c r="G9" s="153">
        <v>296219.14</v>
      </c>
      <c r="H9" s="83">
        <v>33481.5</v>
      </c>
      <c r="I9" s="132">
        <v>0.11302949566324444</v>
      </c>
    </row>
    <row r="10" spans="1:9" ht="12.75">
      <c r="A10" s="131">
        <v>3045</v>
      </c>
      <c r="B10" s="2"/>
      <c r="C10" s="188" t="s">
        <v>71</v>
      </c>
      <c r="D10" s="153">
        <v>253500</v>
      </c>
      <c r="E10" s="83">
        <v>154671.01</v>
      </c>
      <c r="F10" s="132">
        <v>0.6101420512820513</v>
      </c>
      <c r="G10" s="153">
        <v>221490.88</v>
      </c>
      <c r="H10" s="83">
        <v>-66819.87</v>
      </c>
      <c r="I10" s="132">
        <v>-0.30168226339612714</v>
      </c>
    </row>
    <row r="11" spans="1:9" ht="12.75">
      <c r="A11" s="131">
        <v>3047</v>
      </c>
      <c r="B11" s="2"/>
      <c r="C11" s="189" t="s">
        <v>72</v>
      </c>
      <c r="D11" s="153">
        <v>519000</v>
      </c>
      <c r="E11" s="83">
        <v>483940.73</v>
      </c>
      <c r="F11" s="132">
        <v>0.9324484200385356</v>
      </c>
      <c r="G11" s="153">
        <v>326570.02</v>
      </c>
      <c r="H11" s="83">
        <v>157370.70999999996</v>
      </c>
      <c r="I11" s="132">
        <v>0.48188964192120254</v>
      </c>
    </row>
    <row r="12" spans="1:9" ht="12.75">
      <c r="A12" s="190">
        <v>32</v>
      </c>
      <c r="B12" s="181" t="s">
        <v>73</v>
      </c>
      <c r="C12" s="187"/>
      <c r="D12" s="198">
        <v>17271759</v>
      </c>
      <c r="E12" s="180">
        <v>12580663.899999997</v>
      </c>
      <c r="F12" s="199">
        <v>0.7283950580829663</v>
      </c>
      <c r="G12" s="198">
        <v>11882554.920000002</v>
      </c>
      <c r="H12" s="180">
        <v>698108.9799999949</v>
      </c>
      <c r="I12" s="199">
        <v>0.058750747183585895</v>
      </c>
    </row>
    <row r="13" spans="1:9" ht="12.75">
      <c r="A13" s="190" t="s">
        <v>74</v>
      </c>
      <c r="B13" s="181" t="s">
        <v>75</v>
      </c>
      <c r="C13" s="187"/>
      <c r="D13" s="198">
        <v>38507863</v>
      </c>
      <c r="E13" s="180">
        <v>35109523.53</v>
      </c>
      <c r="F13" s="199">
        <v>0.9117494660765777</v>
      </c>
      <c r="G13" s="198">
        <v>30301881.09</v>
      </c>
      <c r="H13" s="180">
        <v>4807642.440000001</v>
      </c>
      <c r="I13" s="199">
        <v>0.15865821747899947</v>
      </c>
    </row>
    <row r="14" spans="1:9" ht="12.75">
      <c r="A14" s="131" t="s">
        <v>76</v>
      </c>
      <c r="B14" s="2"/>
      <c r="C14" s="188" t="s">
        <v>77</v>
      </c>
      <c r="D14" s="153">
        <v>5028291</v>
      </c>
      <c r="E14" s="83">
        <v>5028291</v>
      </c>
      <c r="F14" s="132">
        <v>1</v>
      </c>
      <c r="G14" s="153">
        <v>4918342</v>
      </c>
      <c r="H14" s="83">
        <v>109949</v>
      </c>
      <c r="I14" s="132">
        <v>0.02235489114014438</v>
      </c>
    </row>
    <row r="15" spans="1:9" ht="12.75">
      <c r="A15" s="131" t="s">
        <v>78</v>
      </c>
      <c r="B15" s="2"/>
      <c r="C15" s="189" t="s">
        <v>79</v>
      </c>
      <c r="D15" s="153">
        <v>21737938</v>
      </c>
      <c r="E15" s="83">
        <v>20888709</v>
      </c>
      <c r="F15" s="132">
        <v>0.9609333231146395</v>
      </c>
      <c r="G15" s="153">
        <v>17226972</v>
      </c>
      <c r="H15" s="83">
        <v>3661737</v>
      </c>
      <c r="I15" s="132">
        <v>0.21255836487108704</v>
      </c>
    </row>
    <row r="16" spans="1:9" ht="12.75">
      <c r="A16" s="131" t="s">
        <v>80</v>
      </c>
      <c r="B16" s="2"/>
      <c r="C16" s="189" t="s">
        <v>81</v>
      </c>
      <c r="D16" s="153">
        <v>11741634</v>
      </c>
      <c r="E16" s="83">
        <v>9192523.53</v>
      </c>
      <c r="F16" s="132">
        <v>0.7828998527802858</v>
      </c>
      <c r="G16" s="153">
        <v>8156567.09</v>
      </c>
      <c r="H16" s="83">
        <v>1035956.4399999995</v>
      </c>
      <c r="I16" s="132">
        <v>0.12700887868256344</v>
      </c>
    </row>
    <row r="17" spans="1:9" ht="12.75">
      <c r="A17" s="190" t="s">
        <v>82</v>
      </c>
      <c r="B17" s="181" t="s">
        <v>83</v>
      </c>
      <c r="C17" s="187"/>
      <c r="D17" s="198">
        <v>2459259</v>
      </c>
      <c r="E17" s="180">
        <v>2388197.4100000006</v>
      </c>
      <c r="F17" s="199">
        <v>0.971104470899568</v>
      </c>
      <c r="G17" s="198">
        <v>429720.08999999997</v>
      </c>
      <c r="H17" s="180">
        <v>1958477.3200000008</v>
      </c>
      <c r="I17" s="199">
        <v>4.557565181558072</v>
      </c>
    </row>
    <row r="18" spans="1:9" ht="12.75">
      <c r="A18" s="133">
        <v>3818</v>
      </c>
      <c r="B18" s="3"/>
      <c r="C18" s="191" t="s">
        <v>84</v>
      </c>
      <c r="D18" s="154">
        <v>14000</v>
      </c>
      <c r="E18" s="84">
        <v>1501.72</v>
      </c>
      <c r="F18" s="134" t="s">
        <v>85</v>
      </c>
      <c r="G18" s="153">
        <v>3105.3399999999997</v>
      </c>
      <c r="H18" s="83">
        <v>-1603.6199999999997</v>
      </c>
      <c r="I18" s="134" t="s">
        <v>85</v>
      </c>
    </row>
    <row r="19" spans="1:9" ht="12.75">
      <c r="A19" s="131">
        <v>382540</v>
      </c>
      <c r="B19" s="2"/>
      <c r="C19" s="188" t="s">
        <v>86</v>
      </c>
      <c r="D19" s="154">
        <v>190000</v>
      </c>
      <c r="E19" s="84">
        <v>133717</v>
      </c>
      <c r="F19" s="132">
        <v>0.7037736842105263</v>
      </c>
      <c r="G19" s="153">
        <v>132393</v>
      </c>
      <c r="H19" s="83">
        <v>1324</v>
      </c>
      <c r="I19" s="132">
        <v>0.010000528728860288</v>
      </c>
    </row>
    <row r="20" spans="1:9" ht="12.75">
      <c r="A20" s="131">
        <v>3882</v>
      </c>
      <c r="B20" s="2"/>
      <c r="C20" s="188" t="s">
        <v>87</v>
      </c>
      <c r="D20" s="154">
        <v>0</v>
      </c>
      <c r="E20" s="84">
        <v>3346</v>
      </c>
      <c r="F20" s="132" t="e">
        <v>#DIV/0!</v>
      </c>
      <c r="G20" s="153">
        <v>2548</v>
      </c>
      <c r="H20" s="83">
        <v>798</v>
      </c>
      <c r="I20" s="132">
        <v>0.3131868131868132</v>
      </c>
    </row>
    <row r="21" spans="1:9" ht="12.75">
      <c r="A21" s="214" t="s">
        <v>88</v>
      </c>
      <c r="B21" s="215"/>
      <c r="C21" s="216" t="s">
        <v>89</v>
      </c>
      <c r="D21" s="217">
        <v>2255259</v>
      </c>
      <c r="E21" s="175">
        <v>2249632.6900000004</v>
      </c>
      <c r="F21" s="218">
        <v>0.997505248842816</v>
      </c>
      <c r="G21" s="219">
        <v>291673.75</v>
      </c>
      <c r="H21" s="175">
        <v>1957958.9400000004</v>
      </c>
      <c r="I21" s="218">
        <v>6.712839053908692</v>
      </c>
    </row>
    <row r="22" spans="1:9" ht="12.75">
      <c r="A22" s="208"/>
      <c r="B22" s="209" t="s">
        <v>90</v>
      </c>
      <c r="C22" s="210"/>
      <c r="D22" s="211">
        <v>-116866109</v>
      </c>
      <c r="E22" s="212">
        <v>-81336939.07</v>
      </c>
      <c r="F22" s="220">
        <v>0.6959839748750426</v>
      </c>
      <c r="G22" s="211">
        <v>-74523315.33999999</v>
      </c>
      <c r="H22" s="212">
        <v>-6813623.730000002</v>
      </c>
      <c r="I22" s="220">
        <v>0.09142942311294122</v>
      </c>
    </row>
    <row r="23" spans="1:9" ht="12.75">
      <c r="A23" s="190" t="s">
        <v>91</v>
      </c>
      <c r="B23" s="181" t="s">
        <v>92</v>
      </c>
      <c r="C23" s="187"/>
      <c r="D23" s="198">
        <v>-15680647</v>
      </c>
      <c r="E23" s="180">
        <v>-11981348.29</v>
      </c>
      <c r="F23" s="200">
        <v>0.7640850718723532</v>
      </c>
      <c r="G23" s="198">
        <v>-7869524.87</v>
      </c>
      <c r="H23" s="180">
        <v>-4111823.419999999</v>
      </c>
      <c r="I23" s="200">
        <v>0.5224995775380272</v>
      </c>
    </row>
    <row r="24" spans="1:9" ht="12.75">
      <c r="A24" s="190"/>
      <c r="B24" s="181" t="s">
        <v>93</v>
      </c>
      <c r="C24" s="187"/>
      <c r="D24" s="198">
        <v>-101185462</v>
      </c>
      <c r="E24" s="180">
        <v>-69355590.78</v>
      </c>
      <c r="F24" s="200">
        <v>0.6854303909784984</v>
      </c>
      <c r="G24" s="198">
        <v>-66653790.46999999</v>
      </c>
      <c r="H24" s="180">
        <v>-2701800.310000004</v>
      </c>
      <c r="I24" s="200">
        <v>0.04053483366735233</v>
      </c>
    </row>
    <row r="25" spans="1:9" ht="12.75">
      <c r="A25" s="131">
        <v>50</v>
      </c>
      <c r="B25" s="2"/>
      <c r="C25" s="188" t="s">
        <v>290</v>
      </c>
      <c r="D25" s="153">
        <v>-55868152</v>
      </c>
      <c r="E25" s="83">
        <v>-39636068.12</v>
      </c>
      <c r="F25" s="132">
        <v>0.7094572972451281</v>
      </c>
      <c r="G25" s="153">
        <v>-37978563.809999995</v>
      </c>
      <c r="H25" s="83">
        <v>-1657504.3100000024</v>
      </c>
      <c r="I25" s="132">
        <v>0.04364315402478624</v>
      </c>
    </row>
    <row r="26" spans="1:9" ht="12.75">
      <c r="A26" s="135">
        <v>500</v>
      </c>
      <c r="B26" s="4"/>
      <c r="C26" s="192" t="s">
        <v>94</v>
      </c>
      <c r="D26" s="155">
        <v>-41648548</v>
      </c>
      <c r="E26" s="85">
        <v>-29648708.3</v>
      </c>
      <c r="F26" s="136">
        <v>0.711878558167262</v>
      </c>
      <c r="G26" s="205">
        <v>-28331209.519999996</v>
      </c>
      <c r="H26" s="85">
        <v>-1317498.780000005</v>
      </c>
      <c r="I26" s="136">
        <v>0.04650344275170943</v>
      </c>
    </row>
    <row r="27" spans="1:9" ht="12.75">
      <c r="A27" s="131">
        <v>55</v>
      </c>
      <c r="B27" s="2"/>
      <c r="C27" s="188" t="s">
        <v>95</v>
      </c>
      <c r="D27" s="153">
        <v>-44944166</v>
      </c>
      <c r="E27" s="83">
        <v>-29534976.02</v>
      </c>
      <c r="F27" s="132">
        <v>0.6571481606756259</v>
      </c>
      <c r="G27" s="153">
        <v>-28463102.08</v>
      </c>
      <c r="H27" s="83">
        <v>-1071873.9400000013</v>
      </c>
      <c r="I27" s="132">
        <v>0.037658366856407006</v>
      </c>
    </row>
    <row r="28" spans="1:9" ht="12.75">
      <c r="A28" s="214">
        <v>60</v>
      </c>
      <c r="B28" s="215"/>
      <c r="C28" s="216" t="s">
        <v>96</v>
      </c>
      <c r="D28" s="219">
        <v>-373144</v>
      </c>
      <c r="E28" s="221">
        <v>-184546.64</v>
      </c>
      <c r="F28" s="174">
        <v>0.494572175889201</v>
      </c>
      <c r="G28" s="219">
        <v>-212124.58</v>
      </c>
      <c r="H28" s="222">
        <v>27577.939999999973</v>
      </c>
      <c r="I28" s="223">
        <v>-0.13000822441227686</v>
      </c>
    </row>
    <row r="29" spans="1:9" ht="12.75">
      <c r="A29" s="160"/>
      <c r="B29" s="161" t="s">
        <v>97</v>
      </c>
      <c r="C29" s="224"/>
      <c r="D29" s="162">
        <v>7450272</v>
      </c>
      <c r="E29" s="164">
        <v>19113252.150000006</v>
      </c>
      <c r="F29" s="163"/>
      <c r="G29" s="162">
        <v>15407087.800000027</v>
      </c>
      <c r="H29" s="164">
        <v>3706164.349999981</v>
      </c>
      <c r="I29" s="163">
        <v>0.24054931068803118</v>
      </c>
    </row>
    <row r="30" spans="1:9" ht="12.75">
      <c r="A30" s="225"/>
      <c r="B30" s="226" t="s">
        <v>98</v>
      </c>
      <c r="C30" s="227"/>
      <c r="D30" s="228">
        <v>-15841982</v>
      </c>
      <c r="E30" s="229">
        <v>-7091780.220000001</v>
      </c>
      <c r="F30" s="220">
        <v>0.44765738403187183</v>
      </c>
      <c r="G30" s="228">
        <v>-9039451.030000001</v>
      </c>
      <c r="H30" s="229">
        <v>1567670.8099999987</v>
      </c>
      <c r="I30" s="220">
        <v>-0.17342544417766467</v>
      </c>
    </row>
    <row r="31" spans="1:9" ht="12.75">
      <c r="A31" s="135"/>
      <c r="B31" s="5" t="s">
        <v>99</v>
      </c>
      <c r="C31" s="192"/>
      <c r="D31" s="155">
        <v>15203891</v>
      </c>
      <c r="E31" s="85">
        <v>3011845.52</v>
      </c>
      <c r="F31" s="136">
        <v>0.19809702134802204</v>
      </c>
      <c r="G31" s="155">
        <v>9935945.14</v>
      </c>
      <c r="H31" s="85">
        <v>-6924099.620000001</v>
      </c>
      <c r="I31" s="136">
        <v>-0.6968737772237741</v>
      </c>
    </row>
    <row r="32" spans="1:9" ht="12.75">
      <c r="A32" s="135"/>
      <c r="B32" s="5" t="s">
        <v>100</v>
      </c>
      <c r="C32" s="192"/>
      <c r="D32" s="155">
        <v>-31345873</v>
      </c>
      <c r="E32" s="85">
        <v>-10483625.740000002</v>
      </c>
      <c r="F32" s="136">
        <v>0.3344499526301278</v>
      </c>
      <c r="G32" s="155">
        <v>-18975396.17</v>
      </c>
      <c r="H32" s="85">
        <v>8491770.43</v>
      </c>
      <c r="I32" s="136">
        <v>-0.44751478988488486</v>
      </c>
    </row>
    <row r="33" spans="1:9" ht="12.75">
      <c r="A33" s="131">
        <v>381</v>
      </c>
      <c r="B33" s="2"/>
      <c r="C33" s="188" t="s">
        <v>101</v>
      </c>
      <c r="D33" s="153">
        <v>974322</v>
      </c>
      <c r="E33" s="83">
        <v>515359.43999999994</v>
      </c>
      <c r="F33" s="132">
        <v>0.5289416024681778</v>
      </c>
      <c r="G33" s="153">
        <v>517269.67000000004</v>
      </c>
      <c r="H33" s="83">
        <v>-1910.2300000000978</v>
      </c>
      <c r="I33" s="132">
        <v>-0.0036929093484257404</v>
      </c>
    </row>
    <row r="34" spans="1:9" ht="12.75">
      <c r="A34" s="131">
        <v>15</v>
      </c>
      <c r="B34" s="2"/>
      <c r="C34" s="188" t="s">
        <v>102</v>
      </c>
      <c r="D34" s="153">
        <v>-28967661</v>
      </c>
      <c r="E34" s="83">
        <v>-9110943.21</v>
      </c>
      <c r="F34" s="132">
        <v>0.3145211900263539</v>
      </c>
      <c r="G34" s="153">
        <v>-17304562.330000002</v>
      </c>
      <c r="H34" s="83">
        <v>8193619.120000001</v>
      </c>
      <c r="I34" s="132">
        <v>-0.47349473299276446</v>
      </c>
    </row>
    <row r="35" spans="1:9" ht="12.75">
      <c r="A35" s="131">
        <v>3502</v>
      </c>
      <c r="B35" s="2"/>
      <c r="C35" s="188" t="s">
        <v>103</v>
      </c>
      <c r="D35" s="153">
        <v>14214569</v>
      </c>
      <c r="E35" s="83">
        <v>2490787.91</v>
      </c>
      <c r="F35" s="132">
        <v>0.17522781802248102</v>
      </c>
      <c r="G35" s="153">
        <v>9410621.83</v>
      </c>
      <c r="H35" s="83">
        <v>-6919833.92</v>
      </c>
      <c r="I35" s="132">
        <v>-0.7353216445209125</v>
      </c>
    </row>
    <row r="36" spans="1:9" ht="12.75">
      <c r="A36" s="131">
        <v>4502</v>
      </c>
      <c r="B36" s="2"/>
      <c r="C36" s="188" t="s">
        <v>104</v>
      </c>
      <c r="D36" s="153">
        <v>-1723197</v>
      </c>
      <c r="E36" s="83">
        <v>-925210.8</v>
      </c>
      <c r="F36" s="132">
        <v>0.5369152801449864</v>
      </c>
      <c r="G36" s="153">
        <v>-1126150.01</v>
      </c>
      <c r="H36" s="83">
        <v>200939.20999999996</v>
      </c>
      <c r="I36" s="132">
        <v>-0.178430234174575</v>
      </c>
    </row>
    <row r="37" spans="1:9" ht="12.75">
      <c r="A37" s="137" t="s">
        <v>286</v>
      </c>
      <c r="B37" s="6"/>
      <c r="C37" s="188" t="s">
        <v>287</v>
      </c>
      <c r="D37" s="153">
        <v>300000</v>
      </c>
      <c r="E37" s="83">
        <v>380000</v>
      </c>
      <c r="F37" s="132">
        <v>1.2666666666666666</v>
      </c>
      <c r="G37" s="153">
        <v>0</v>
      </c>
      <c r="H37" s="83">
        <v>380000</v>
      </c>
      <c r="I37" s="134" t="s">
        <v>85</v>
      </c>
    </row>
    <row r="38" spans="1:9" ht="12.75">
      <c r="A38" s="137" t="s">
        <v>288</v>
      </c>
      <c r="B38" s="6"/>
      <c r="C38" s="188" t="s">
        <v>289</v>
      </c>
      <c r="D38" s="153">
        <v>0</v>
      </c>
      <c r="E38" s="83">
        <v>0</v>
      </c>
      <c r="F38" s="132"/>
      <c r="G38" s="153">
        <v>0</v>
      </c>
      <c r="H38" s="83">
        <v>0</v>
      </c>
      <c r="I38" s="134" t="s">
        <v>85</v>
      </c>
    </row>
    <row r="39" spans="1:9" ht="12.75">
      <c r="A39" s="138">
        <v>382</v>
      </c>
      <c r="B39" s="6"/>
      <c r="C39" s="188" t="s">
        <v>105</v>
      </c>
      <c r="D39" s="153">
        <v>15000</v>
      </c>
      <c r="E39" s="83">
        <v>5698.17</v>
      </c>
      <c r="F39" s="132">
        <v>0.379878</v>
      </c>
      <c r="G39" s="153">
        <v>8053.639999999999</v>
      </c>
      <c r="H39" s="83">
        <v>-2355.4699999999993</v>
      </c>
      <c r="I39" s="132">
        <v>-0.2924727204096532</v>
      </c>
    </row>
    <row r="40" spans="1:9" ht="12.75">
      <c r="A40" s="214">
        <v>65</v>
      </c>
      <c r="B40" s="215"/>
      <c r="C40" s="216" t="s">
        <v>106</v>
      </c>
      <c r="D40" s="219">
        <v>-655015</v>
      </c>
      <c r="E40" s="221">
        <v>-447471.73</v>
      </c>
      <c r="F40" s="174">
        <v>0.6831473019701838</v>
      </c>
      <c r="G40" s="219">
        <v>-544683.83</v>
      </c>
      <c r="H40" s="222">
        <v>97212.09999999998</v>
      </c>
      <c r="I40" s="223">
        <v>-0.1784743637423567</v>
      </c>
    </row>
    <row r="41" spans="1:9" ht="12.75">
      <c r="A41" s="167"/>
      <c r="B41" s="168" t="s">
        <v>107</v>
      </c>
      <c r="C41" s="230"/>
      <c r="D41" s="162">
        <v>-8391710</v>
      </c>
      <c r="E41" s="164">
        <v>12021471.930000005</v>
      </c>
      <c r="F41" s="163">
        <v>-1.4325413926363049</v>
      </c>
      <c r="G41" s="162">
        <v>6367636.770000026</v>
      </c>
      <c r="H41" s="164">
        <v>5273835.15999998</v>
      </c>
      <c r="I41" s="163">
        <v>0.8282248737626972</v>
      </c>
    </row>
    <row r="42" spans="1:9" ht="12.75">
      <c r="A42" s="231"/>
      <c r="B42" s="226" t="s">
        <v>108</v>
      </c>
      <c r="C42" s="227"/>
      <c r="D42" s="228">
        <v>3362930</v>
      </c>
      <c r="E42" s="229">
        <v>-6870857.199999999</v>
      </c>
      <c r="F42" s="220">
        <v>-2.0431163301049975</v>
      </c>
      <c r="G42" s="228">
        <v>-6508489.66</v>
      </c>
      <c r="H42" s="229">
        <v>-362367.5399999991</v>
      </c>
      <c r="I42" s="220">
        <v>0.05567613362391039</v>
      </c>
    </row>
    <row r="43" spans="1:9" ht="12.75">
      <c r="A43" s="137" t="s">
        <v>109</v>
      </c>
      <c r="B43" s="130"/>
      <c r="C43" s="193" t="s">
        <v>110</v>
      </c>
      <c r="D43" s="153">
        <v>11687130</v>
      </c>
      <c r="E43" s="83">
        <v>0</v>
      </c>
      <c r="F43" s="132">
        <v>0</v>
      </c>
      <c r="G43" s="153">
        <v>0</v>
      </c>
      <c r="H43" s="83">
        <v>0</v>
      </c>
      <c r="I43" s="134" t="s">
        <v>85</v>
      </c>
    </row>
    <row r="44" spans="1:9" ht="12.75">
      <c r="A44" s="139" t="s">
        <v>111</v>
      </c>
      <c r="B44" s="7"/>
      <c r="C44" s="194" t="s">
        <v>112</v>
      </c>
      <c r="D44" s="155">
        <v>11687130</v>
      </c>
      <c r="E44" s="85">
        <v>0</v>
      </c>
      <c r="F44" s="140" t="s">
        <v>85</v>
      </c>
      <c r="G44" s="155">
        <v>10885000</v>
      </c>
      <c r="H44" s="85">
        <v>-10885000</v>
      </c>
      <c r="I44" s="140" t="s">
        <v>85</v>
      </c>
    </row>
    <row r="45" spans="1:9" ht="12.75">
      <c r="A45" s="139" t="s">
        <v>113</v>
      </c>
      <c r="B45" s="7"/>
      <c r="C45" s="194" t="s">
        <v>114</v>
      </c>
      <c r="D45" s="155">
        <v>0</v>
      </c>
      <c r="E45" s="85">
        <v>0</v>
      </c>
      <c r="F45" s="140" t="s">
        <v>85</v>
      </c>
      <c r="G45" s="155">
        <v>0</v>
      </c>
      <c r="H45" s="85">
        <v>0</v>
      </c>
      <c r="I45" s="140" t="s">
        <v>85</v>
      </c>
    </row>
    <row r="46" spans="1:9" ht="12.75">
      <c r="A46" s="139" t="s">
        <v>115</v>
      </c>
      <c r="B46" s="7"/>
      <c r="C46" s="194" t="s">
        <v>116</v>
      </c>
      <c r="D46" s="155">
        <v>0</v>
      </c>
      <c r="E46" s="85">
        <v>0</v>
      </c>
      <c r="F46" s="140" t="s">
        <v>85</v>
      </c>
      <c r="G46" s="155">
        <v>0</v>
      </c>
      <c r="H46" s="85">
        <v>0</v>
      </c>
      <c r="I46" s="140" t="s">
        <v>85</v>
      </c>
    </row>
    <row r="47" spans="1:9" ht="12.75">
      <c r="A47" s="137" t="s">
        <v>117</v>
      </c>
      <c r="B47" s="130"/>
      <c r="C47" s="193" t="s">
        <v>118</v>
      </c>
      <c r="D47" s="153">
        <v>-8324200</v>
      </c>
      <c r="E47" s="83">
        <v>-6870857.199999999</v>
      </c>
      <c r="F47" s="132">
        <v>0.8254075106316522</v>
      </c>
      <c r="G47" s="153">
        <v>-6508489.66</v>
      </c>
      <c r="H47" s="83">
        <v>-362367.5399999991</v>
      </c>
      <c r="I47" s="132">
        <v>0.05567613362391039</v>
      </c>
    </row>
    <row r="48" spans="1:9" ht="12.75">
      <c r="A48" s="139" t="s">
        <v>119</v>
      </c>
      <c r="B48" s="7"/>
      <c r="C48" s="194" t="s">
        <v>276</v>
      </c>
      <c r="D48" s="155">
        <v>-7987130</v>
      </c>
      <c r="E48" s="85">
        <v>-6636778.93</v>
      </c>
      <c r="F48" s="140" t="s">
        <v>85</v>
      </c>
      <c r="G48" s="155">
        <v>-6262441.93</v>
      </c>
      <c r="H48" s="85">
        <v>-374337</v>
      </c>
      <c r="I48" s="140" t="s">
        <v>85</v>
      </c>
    </row>
    <row r="49" spans="1:9" ht="12.75">
      <c r="A49" s="139" t="s">
        <v>120</v>
      </c>
      <c r="B49" s="7"/>
      <c r="C49" s="194" t="s">
        <v>277</v>
      </c>
      <c r="D49" s="155">
        <v>0</v>
      </c>
      <c r="E49" s="85">
        <v>0</v>
      </c>
      <c r="F49" s="140" t="s">
        <v>85</v>
      </c>
      <c r="G49" s="155">
        <v>0</v>
      </c>
      <c r="H49" s="85">
        <v>0</v>
      </c>
      <c r="I49" s="140" t="s">
        <v>85</v>
      </c>
    </row>
    <row r="50" spans="1:9" ht="12.75">
      <c r="A50" s="232" t="s">
        <v>121</v>
      </c>
      <c r="B50" s="233"/>
      <c r="C50" s="234" t="s">
        <v>278</v>
      </c>
      <c r="D50" s="235">
        <v>-337070</v>
      </c>
      <c r="E50" s="236">
        <v>-234078.27000000002</v>
      </c>
      <c r="F50" s="237">
        <v>0.6944500252173139</v>
      </c>
      <c r="G50" s="235">
        <v>-246047.72999999998</v>
      </c>
      <c r="H50" s="236">
        <v>11969.459999999963</v>
      </c>
      <c r="I50" s="237">
        <v>-0.048646902777765774</v>
      </c>
    </row>
    <row r="51" spans="1:9" ht="12.75">
      <c r="A51" s="165">
        <v>1001</v>
      </c>
      <c r="B51" s="152" t="s">
        <v>122</v>
      </c>
      <c r="C51" s="238"/>
      <c r="D51" s="169">
        <v>-5028780</v>
      </c>
      <c r="E51" s="170">
        <v>5150614.730000006</v>
      </c>
      <c r="F51" s="159"/>
      <c r="G51" s="169">
        <v>-140852.88999997452</v>
      </c>
      <c r="H51" s="166">
        <v>5291467.619999981</v>
      </c>
      <c r="I51" s="159"/>
    </row>
    <row r="52" spans="1:10" ht="12.75">
      <c r="A52" s="138"/>
      <c r="B52" s="6"/>
      <c r="C52" s="195"/>
      <c r="D52" s="201"/>
      <c r="E52" s="171"/>
      <c r="F52" s="202"/>
      <c r="G52" s="206"/>
      <c r="H52" s="86"/>
      <c r="I52" s="202"/>
      <c r="J52" s="173"/>
    </row>
    <row r="53" spans="1:9" ht="12.75">
      <c r="A53" s="143"/>
      <c r="B53" s="239" t="s">
        <v>123</v>
      </c>
      <c r="C53" s="240"/>
      <c r="D53" s="156">
        <v>116837088</v>
      </c>
      <c r="E53" s="10">
        <v>81265154.10000001</v>
      </c>
      <c r="F53" s="144">
        <v>0.6955424471037828</v>
      </c>
      <c r="G53" s="207">
        <v>78286413.95999998</v>
      </c>
      <c r="H53" s="10">
        <v>2978740.1400000146</v>
      </c>
      <c r="I53" s="144">
        <v>0.03804926026528672</v>
      </c>
    </row>
    <row r="54" spans="1:9" ht="12.75">
      <c r="A54" s="141" t="s">
        <v>124</v>
      </c>
      <c r="B54" s="8" t="s">
        <v>7</v>
      </c>
      <c r="C54" s="172"/>
      <c r="D54" s="157">
        <v>8691429</v>
      </c>
      <c r="E54" s="9">
        <v>5857073.61</v>
      </c>
      <c r="F54" s="142">
        <v>0.6738907503012451</v>
      </c>
      <c r="G54" s="157">
        <v>5434098.819999999</v>
      </c>
      <c r="H54" s="9">
        <v>422974.79000000097</v>
      </c>
      <c r="I54" s="142">
        <v>0.07783715460662179</v>
      </c>
    </row>
    <row r="55" spans="1:9" ht="12.75">
      <c r="A55" s="141" t="s">
        <v>125</v>
      </c>
      <c r="B55" s="8" t="s">
        <v>126</v>
      </c>
      <c r="C55" s="196"/>
      <c r="D55" s="157">
        <v>468287</v>
      </c>
      <c r="E55" s="9">
        <v>321186.7</v>
      </c>
      <c r="F55" s="142">
        <v>0.6858757556797435</v>
      </c>
      <c r="G55" s="157">
        <v>263842.99</v>
      </c>
      <c r="H55" s="9">
        <v>57343.71000000002</v>
      </c>
      <c r="I55" s="142">
        <v>0.21734028256729512</v>
      </c>
    </row>
    <row r="56" spans="1:9" ht="12.75">
      <c r="A56" s="141" t="s">
        <v>127</v>
      </c>
      <c r="B56" s="8" t="s">
        <v>17</v>
      </c>
      <c r="C56" s="196"/>
      <c r="D56" s="157">
        <v>13753441</v>
      </c>
      <c r="E56" s="9">
        <v>9393892.780000001</v>
      </c>
      <c r="F56" s="142">
        <v>0.6830212730036069</v>
      </c>
      <c r="G56" s="157">
        <v>8898946.920000002</v>
      </c>
      <c r="H56" s="9">
        <v>494945.8599999994</v>
      </c>
      <c r="I56" s="142">
        <v>0.05561847536000353</v>
      </c>
    </row>
    <row r="57" spans="1:9" ht="12.75">
      <c r="A57" s="141" t="s">
        <v>128</v>
      </c>
      <c r="B57" s="8" t="s">
        <v>28</v>
      </c>
      <c r="C57" s="196"/>
      <c r="D57" s="157">
        <v>5274787</v>
      </c>
      <c r="E57" s="9">
        <v>3702722.7299999995</v>
      </c>
      <c r="F57" s="142">
        <v>0.701966303094324</v>
      </c>
      <c r="G57" s="157">
        <v>3602013.1200000006</v>
      </c>
      <c r="H57" s="9">
        <v>100709.60999999894</v>
      </c>
      <c r="I57" s="142">
        <v>0.027959256850235717</v>
      </c>
    </row>
    <row r="58" spans="1:9" ht="12.75">
      <c r="A58" s="141" t="s">
        <v>129</v>
      </c>
      <c r="B58" s="8" t="s">
        <v>130</v>
      </c>
      <c r="C58" s="196"/>
      <c r="D58" s="157">
        <v>2261624</v>
      </c>
      <c r="E58" s="9">
        <v>1441470.9500000002</v>
      </c>
      <c r="F58" s="142">
        <v>0.6373610069578322</v>
      </c>
      <c r="G58" s="157">
        <v>1495934.31</v>
      </c>
      <c r="H58" s="9">
        <v>-54463.35999999987</v>
      </c>
      <c r="I58" s="142">
        <v>-0.03640758797757628</v>
      </c>
    </row>
    <row r="59" spans="1:9" ht="12.75">
      <c r="A59" s="141" t="s">
        <v>131</v>
      </c>
      <c r="B59" s="8" t="s">
        <v>132</v>
      </c>
      <c r="C59" s="196"/>
      <c r="D59" s="157">
        <v>477594</v>
      </c>
      <c r="E59" s="9">
        <v>285710.85000000003</v>
      </c>
      <c r="F59" s="142">
        <v>0.5982295631854673</v>
      </c>
      <c r="G59" s="157">
        <v>252851.82</v>
      </c>
      <c r="H59" s="9">
        <v>32859.03000000003</v>
      </c>
      <c r="I59" s="142">
        <v>0.12995370173724685</v>
      </c>
    </row>
    <row r="60" spans="1:9" ht="12.75">
      <c r="A60" s="141" t="s">
        <v>133</v>
      </c>
      <c r="B60" s="8" t="s">
        <v>134</v>
      </c>
      <c r="C60" s="196"/>
      <c r="D60" s="157">
        <v>10070923</v>
      </c>
      <c r="E60" s="9">
        <v>7940533.220000002</v>
      </c>
      <c r="F60" s="142">
        <v>0.788461317795797</v>
      </c>
      <c r="G60" s="157">
        <v>7535664.319999998</v>
      </c>
      <c r="H60" s="9">
        <v>404868.90000000317</v>
      </c>
      <c r="I60" s="142">
        <v>0.05372703491123703</v>
      </c>
    </row>
    <row r="61" spans="1:9" ht="12.75">
      <c r="A61" s="141" t="s">
        <v>135</v>
      </c>
      <c r="B61" s="8" t="s">
        <v>44</v>
      </c>
      <c r="C61" s="196"/>
      <c r="D61" s="157">
        <v>65335241</v>
      </c>
      <c r="E61" s="9">
        <v>45462788.86</v>
      </c>
      <c r="F61" s="142">
        <v>0.6958386953833996</v>
      </c>
      <c r="G61" s="157">
        <v>44339246.83999999</v>
      </c>
      <c r="H61" s="9">
        <v>1123542.0200000107</v>
      </c>
      <c r="I61" s="142">
        <v>0.025339673090396836</v>
      </c>
    </row>
    <row r="62" spans="1:9" ht="12.75">
      <c r="A62" s="141" t="s">
        <v>136</v>
      </c>
      <c r="B62" s="8" t="s">
        <v>54</v>
      </c>
      <c r="C62" s="196"/>
      <c r="D62" s="157">
        <v>10503762</v>
      </c>
      <c r="E62" s="9">
        <v>6859774.400000001</v>
      </c>
      <c r="F62" s="142">
        <v>0.6530778591517974</v>
      </c>
      <c r="G62" s="157">
        <v>6463814.82</v>
      </c>
      <c r="H62" s="9">
        <v>395959.580000001</v>
      </c>
      <c r="I62" s="142">
        <v>0.06125787805288657</v>
      </c>
    </row>
    <row r="63" spans="1:9" ht="12.75">
      <c r="A63" s="143"/>
      <c r="B63" s="239" t="s">
        <v>137</v>
      </c>
      <c r="C63" s="240"/>
      <c r="D63" s="156">
        <v>31374894</v>
      </c>
      <c r="E63" s="10">
        <v>10555410.71</v>
      </c>
      <c r="F63" s="144">
        <v>0.336428569607279</v>
      </c>
      <c r="G63" s="207">
        <v>18643247.18</v>
      </c>
      <c r="H63" s="10">
        <v>-8087836.469999998</v>
      </c>
      <c r="I63" s="144">
        <v>-0.4338212325305874</v>
      </c>
    </row>
    <row r="64" spans="1:9" ht="12.75">
      <c r="A64" s="141" t="s">
        <v>124</v>
      </c>
      <c r="B64" s="8" t="s">
        <v>7</v>
      </c>
      <c r="C64" s="172"/>
      <c r="D64" s="157">
        <v>919497</v>
      </c>
      <c r="E64" s="9">
        <v>574843.1</v>
      </c>
      <c r="F64" s="145" t="s">
        <v>85</v>
      </c>
      <c r="G64" s="157">
        <v>601153.95</v>
      </c>
      <c r="H64" s="9">
        <v>-26310.849999999977</v>
      </c>
      <c r="I64" s="145" t="s">
        <v>85</v>
      </c>
    </row>
    <row r="65" spans="1:9" ht="12.75">
      <c r="A65" s="141" t="s">
        <v>125</v>
      </c>
      <c r="B65" s="8" t="s">
        <v>126</v>
      </c>
      <c r="C65" s="196"/>
      <c r="D65" s="157">
        <v>0</v>
      </c>
      <c r="E65" s="9">
        <v>0</v>
      </c>
      <c r="F65" s="145" t="s">
        <v>85</v>
      </c>
      <c r="G65" s="157">
        <v>5500</v>
      </c>
      <c r="H65" s="9">
        <v>-5500</v>
      </c>
      <c r="I65" s="145" t="s">
        <v>85</v>
      </c>
    </row>
    <row r="66" spans="1:9" ht="12.75">
      <c r="A66" s="141" t="s">
        <v>127</v>
      </c>
      <c r="B66" s="8" t="s">
        <v>17</v>
      </c>
      <c r="C66" s="196"/>
      <c r="D66" s="157">
        <v>18152063</v>
      </c>
      <c r="E66" s="9">
        <v>3736539.55</v>
      </c>
      <c r="F66" s="142">
        <v>0.20584655033425125</v>
      </c>
      <c r="G66" s="157">
        <v>7367055.859999999</v>
      </c>
      <c r="H66" s="9">
        <v>-3630516.3099999996</v>
      </c>
      <c r="I66" s="142">
        <v>-0.4928042326531239</v>
      </c>
    </row>
    <row r="67" spans="1:9" ht="12.75">
      <c r="A67" s="141" t="s">
        <v>128</v>
      </c>
      <c r="B67" s="8" t="s">
        <v>28</v>
      </c>
      <c r="C67" s="196"/>
      <c r="D67" s="157">
        <v>454866</v>
      </c>
      <c r="E67" s="9">
        <v>253518.56000000003</v>
      </c>
      <c r="F67" s="142">
        <v>0.5573477903382535</v>
      </c>
      <c r="G67" s="157">
        <v>231597.32</v>
      </c>
      <c r="H67" s="9">
        <v>21921.24000000002</v>
      </c>
      <c r="I67" s="142">
        <v>0.09465239062351852</v>
      </c>
    </row>
    <row r="68" spans="1:9" ht="12.75">
      <c r="A68" s="141" t="s">
        <v>129</v>
      </c>
      <c r="B68" s="8" t="s">
        <v>130</v>
      </c>
      <c r="C68" s="196"/>
      <c r="D68" s="157">
        <v>844698</v>
      </c>
      <c r="E68" s="9">
        <v>296069.71</v>
      </c>
      <c r="F68" s="145" t="s">
        <v>85</v>
      </c>
      <c r="G68" s="157">
        <v>149573.36</v>
      </c>
      <c r="H68" s="9">
        <v>146496.35000000003</v>
      </c>
      <c r="I68" s="142">
        <v>0.9794280879964189</v>
      </c>
    </row>
    <row r="69" spans="1:9" ht="12.75">
      <c r="A69" s="141" t="s">
        <v>131</v>
      </c>
      <c r="B69" s="8" t="s">
        <v>132</v>
      </c>
      <c r="C69" s="196"/>
      <c r="D69" s="157">
        <v>10000</v>
      </c>
      <c r="E69" s="9">
        <v>0</v>
      </c>
      <c r="F69" s="145" t="s">
        <v>85</v>
      </c>
      <c r="G69" s="157">
        <v>0</v>
      </c>
      <c r="H69" s="9">
        <v>0</v>
      </c>
      <c r="I69" s="145" t="s">
        <v>85</v>
      </c>
    </row>
    <row r="70" spans="1:9" ht="12.75">
      <c r="A70" s="141" t="s">
        <v>133</v>
      </c>
      <c r="B70" s="8" t="s">
        <v>134</v>
      </c>
      <c r="C70" s="196"/>
      <c r="D70" s="157">
        <v>1997996</v>
      </c>
      <c r="E70" s="9">
        <v>1445701.7800000003</v>
      </c>
      <c r="F70" s="142">
        <v>0.7235759130648911</v>
      </c>
      <c r="G70" s="157">
        <v>938797.9</v>
      </c>
      <c r="H70" s="9">
        <v>506903.88000000024</v>
      </c>
      <c r="I70" s="142">
        <v>0.5399499508893237</v>
      </c>
    </row>
    <row r="71" spans="1:9" ht="12.75">
      <c r="A71" s="141" t="s">
        <v>135</v>
      </c>
      <c r="B71" s="8" t="s">
        <v>44</v>
      </c>
      <c r="C71" s="196"/>
      <c r="D71" s="157">
        <v>8797175</v>
      </c>
      <c r="E71" s="9">
        <v>4104025.46</v>
      </c>
      <c r="F71" s="142">
        <v>0.4665162918777903</v>
      </c>
      <c r="G71" s="157">
        <v>8836550.77</v>
      </c>
      <c r="H71" s="9">
        <v>-4732525.31</v>
      </c>
      <c r="I71" s="142">
        <v>-0.535562509986009</v>
      </c>
    </row>
    <row r="72" spans="1:9" ht="12.75">
      <c r="A72" s="146" t="s">
        <v>136</v>
      </c>
      <c r="B72" s="147" t="s">
        <v>54</v>
      </c>
      <c r="C72" s="197"/>
      <c r="D72" s="158">
        <v>198599</v>
      </c>
      <c r="E72" s="148">
        <v>144712.55</v>
      </c>
      <c r="F72" s="149">
        <v>0.728667062774737</v>
      </c>
      <c r="G72" s="158">
        <v>513018.02</v>
      </c>
      <c r="H72" s="148">
        <v>-368305.47000000003</v>
      </c>
      <c r="I72" s="149">
        <v>-0.7179191678296213</v>
      </c>
    </row>
    <row r="73" ht="12.75">
      <c r="F73" s="125"/>
    </row>
    <row r="74" spans="4:9" ht="12.75">
      <c r="D74" s="100"/>
      <c r="E74" s="100"/>
      <c r="F74" s="101"/>
      <c r="G74" s="100"/>
      <c r="H74" s="100"/>
      <c r="I74" s="101"/>
    </row>
  </sheetData>
  <sheetProtection/>
  <mergeCells count="7">
    <mergeCell ref="B63:C63"/>
    <mergeCell ref="A2:F2"/>
    <mergeCell ref="D3:D4"/>
    <mergeCell ref="E3:E4"/>
    <mergeCell ref="F3:F4"/>
    <mergeCell ref="H3:I3"/>
    <mergeCell ref="B53:C5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6"/>
  <sheetViews>
    <sheetView showGridLines="0" showZeros="0" workbookViewId="0" topLeftCell="A1">
      <selection activeCell="N11" sqref="N11"/>
    </sheetView>
  </sheetViews>
  <sheetFormatPr defaultColWidth="9.140625" defaultRowHeight="15"/>
  <cols>
    <col min="1" max="2" width="0.85546875" style="12" customWidth="1"/>
    <col min="3" max="3" width="5.421875" style="12" customWidth="1"/>
    <col min="4" max="4" width="42.28125" style="80" customWidth="1"/>
    <col min="5" max="5" width="6.28125" style="81" customWidth="1"/>
    <col min="6" max="6" width="12.7109375" style="81" hidden="1" customWidth="1"/>
    <col min="7" max="7" width="11.28125" style="82" customWidth="1"/>
    <col min="8" max="8" width="11.8515625" style="82" customWidth="1"/>
    <col min="9" max="9" width="12.140625" style="82" hidden="1" customWidth="1"/>
    <col min="10" max="10" width="5.7109375" style="79" customWidth="1"/>
    <col min="11" max="11" width="0.13671875" style="12" hidden="1" customWidth="1"/>
    <col min="12" max="12" width="10.140625" style="14" bestFit="1" customWidth="1"/>
    <col min="13" max="13" width="10.140625" style="15" bestFit="1" customWidth="1"/>
    <col min="14" max="14" width="12.7109375" style="15" customWidth="1"/>
    <col min="15" max="15" width="10.140625" style="15" customWidth="1"/>
    <col min="16" max="16" width="11.7109375" style="15" customWidth="1"/>
    <col min="17" max="16384" width="9.140625" style="15" customWidth="1"/>
  </cols>
  <sheetData>
    <row r="1" spans="4:10" ht="15">
      <c r="D1" s="250" t="s">
        <v>141</v>
      </c>
      <c r="E1" s="250"/>
      <c r="F1" s="250"/>
      <c r="G1" s="250"/>
      <c r="H1" s="250"/>
      <c r="I1" s="250"/>
      <c r="J1" s="250"/>
    </row>
    <row r="2" spans="4:10" ht="15">
      <c r="D2" s="13"/>
      <c r="E2" s="13"/>
      <c r="F2" s="13"/>
      <c r="G2" s="13"/>
      <c r="H2" s="13"/>
      <c r="I2" s="13" t="s">
        <v>65</v>
      </c>
      <c r="J2" s="16"/>
    </row>
    <row r="3" spans="4:10" ht="15">
      <c r="D3" s="13" t="s">
        <v>337</v>
      </c>
      <c r="E3" s="13"/>
      <c r="F3" s="13"/>
      <c r="G3" s="13"/>
      <c r="H3" s="13"/>
      <c r="I3" s="13"/>
      <c r="J3" s="16"/>
    </row>
    <row r="4" spans="4:10" ht="15">
      <c r="D4" s="17"/>
      <c r="E4" s="18"/>
      <c r="F4" s="18" t="s">
        <v>142</v>
      </c>
      <c r="G4" s="19" t="s">
        <v>292</v>
      </c>
      <c r="H4" s="19" t="s">
        <v>143</v>
      </c>
      <c r="I4" s="19" t="s">
        <v>338</v>
      </c>
      <c r="J4" s="20" t="s">
        <v>60</v>
      </c>
    </row>
    <row r="5" spans="1:16" s="25" customFormat="1" ht="27" customHeight="1">
      <c r="A5" s="102"/>
      <c r="B5" s="21"/>
      <c r="C5" s="251"/>
      <c r="D5" s="252" t="s">
        <v>144</v>
      </c>
      <c r="E5" s="253"/>
      <c r="F5" s="254">
        <f>SUM(F6,F8,F9)</f>
        <v>28480919</v>
      </c>
      <c r="G5" s="255">
        <f>SUM(G6,G8,G9)</f>
        <v>31374894</v>
      </c>
      <c r="H5" s="255">
        <f>SUM(H6,H8,H9)</f>
        <v>10555410.709999999</v>
      </c>
      <c r="I5" s="255">
        <f>SUM(I6,I8,I9)</f>
        <v>2725848.39</v>
      </c>
      <c r="J5" s="256">
        <f>ROUND(H5/G5*100,1)</f>
        <v>33.6</v>
      </c>
      <c r="K5" s="23"/>
      <c r="L5" s="24"/>
      <c r="M5" s="87"/>
      <c r="N5" s="87"/>
      <c r="O5" s="87"/>
      <c r="P5" s="87"/>
    </row>
    <row r="6" spans="1:11" ht="16.5" customHeight="1">
      <c r="A6" s="103"/>
      <c r="C6" s="178"/>
      <c r="D6" s="257" t="s">
        <v>0</v>
      </c>
      <c r="E6" s="258" t="s">
        <v>1</v>
      </c>
      <c r="F6" s="259">
        <f>SUMIF($E10:$E367,$E6,F10:F367)+10000</f>
        <v>26826802</v>
      </c>
      <c r="G6" s="259">
        <f>SUMIF($E11:$E367,$E6,G11:G367)</f>
        <v>29711159</v>
      </c>
      <c r="H6" s="259">
        <f>SUMIF($E11:$E274,$E6,H11:H274)</f>
        <v>9182728.179999998</v>
      </c>
      <c r="I6" s="259">
        <f>SUMIF($E11:$E274,$E6,I11:I274)</f>
        <v>2618173.23</v>
      </c>
      <c r="J6" s="260">
        <f>ROUND(H6/G6*100,1)</f>
        <v>30.9</v>
      </c>
      <c r="K6" s="26"/>
    </row>
    <row r="7" spans="1:13" ht="16.5" customHeight="1">
      <c r="A7" s="103"/>
      <c r="C7" s="178"/>
      <c r="D7" s="257" t="s">
        <v>145</v>
      </c>
      <c r="E7" s="258" t="s">
        <v>1</v>
      </c>
      <c r="F7" s="261">
        <f>SUM(F29,F31,F34,F62,F64,F66,F108,F205,F207,F247,F118,F259)</f>
        <v>11881418</v>
      </c>
      <c r="G7" s="261">
        <f>SUM(G29,G31,G34,G62,G64,G66,G108,G118,G192,G205,G207,G215,G233,G234,G244,G251,G259,G269,G100,G246)</f>
        <v>13250803</v>
      </c>
      <c r="H7" s="262">
        <f>SUM(H29,H31,H34,H62,H64,H66,H108,H118,H192,H205,H207,H215,H233,H234,H244,H251,H259,H269,H100,H246)</f>
        <v>990613.4100000001</v>
      </c>
      <c r="I7" s="262">
        <f>SUM(I29,I31,I34,I62,I64,I66,I108,I118,I192,I205,I207,I215,I233,I234,I244,I251,I259,I269,I100,I246)</f>
        <v>756022.1300000001</v>
      </c>
      <c r="J7" s="263">
        <f>ROUND(H7/G7*100,1)</f>
        <v>7.5</v>
      </c>
      <c r="K7" s="26"/>
      <c r="M7" s="88"/>
    </row>
    <row r="8" spans="1:17" ht="25.5">
      <c r="A8" s="103"/>
      <c r="C8" s="178"/>
      <c r="D8" s="264" t="s">
        <v>2</v>
      </c>
      <c r="E8" s="265" t="s">
        <v>3</v>
      </c>
      <c r="F8" s="259">
        <f>SUMIF($E12:$E369,$E8,F12:F369)</f>
        <v>900295</v>
      </c>
      <c r="G8" s="259">
        <f>SUMIF($E13:$E369,$E8,G13:G369)</f>
        <v>1008720</v>
      </c>
      <c r="H8" s="259">
        <f>SUMIF($E13:$E369,$E8,H13:H369)</f>
        <v>925210.8</v>
      </c>
      <c r="I8" s="259">
        <f>SUMIF($E13:$E369,$E8,I13:I369)</f>
        <v>18402.2</v>
      </c>
      <c r="J8" s="266">
        <f>ROUND(H8/G8*100,1)</f>
        <v>91.7</v>
      </c>
      <c r="K8" s="26"/>
      <c r="N8" s="88"/>
      <c r="O8" s="88"/>
      <c r="P8" s="88"/>
      <c r="Q8" s="88"/>
    </row>
    <row r="9" spans="1:12" s="25" customFormat="1" ht="16.5" customHeight="1">
      <c r="A9" s="104"/>
      <c r="B9" s="27"/>
      <c r="C9" s="267"/>
      <c r="D9" s="268" t="s">
        <v>4</v>
      </c>
      <c r="E9" s="269" t="s">
        <v>5</v>
      </c>
      <c r="F9" s="270">
        <f>SUMIF($E11:$E253,$E9,F11:F253)</f>
        <v>753822</v>
      </c>
      <c r="G9" s="270">
        <f>SUMIF($E11:$E274,$E9,G11:G274)</f>
        <v>655015</v>
      </c>
      <c r="H9" s="270">
        <f>SUMIF($E11:$E274,$E9,H11:H274)</f>
        <v>447471.73</v>
      </c>
      <c r="I9" s="270">
        <f>SUMIF($E11:$E274,$E9,I11:I274)</f>
        <v>89272.96</v>
      </c>
      <c r="J9" s="271">
        <f>ROUND(H9/G9*100,1)</f>
        <v>68.3</v>
      </c>
      <c r="K9" s="28"/>
      <c r="L9" s="24"/>
    </row>
    <row r="10" spans="1:16" s="31" customFormat="1" ht="20.25" customHeight="1">
      <c r="A10" s="29"/>
      <c r="B10" s="29"/>
      <c r="C10" s="272"/>
      <c r="D10" s="273" t="s">
        <v>6</v>
      </c>
      <c r="E10" s="273"/>
      <c r="F10" s="273"/>
      <c r="G10" s="273"/>
      <c r="H10" s="273"/>
      <c r="I10" s="273"/>
      <c r="J10" s="273"/>
      <c r="K10" s="29"/>
      <c r="L10" s="30"/>
      <c r="N10" s="126"/>
      <c r="O10" s="126"/>
      <c r="P10" s="126"/>
    </row>
    <row r="11" spans="1:17" s="25" customFormat="1" ht="24" customHeight="1">
      <c r="A11" s="105"/>
      <c r="B11" s="22"/>
      <c r="C11" s="251"/>
      <c r="D11" s="274" t="s">
        <v>146</v>
      </c>
      <c r="E11" s="275"/>
      <c r="F11" s="276">
        <f>SUM(F12,F17)</f>
        <v>945522</v>
      </c>
      <c r="G11" s="276">
        <f>SUM(G12,G17)</f>
        <v>919497</v>
      </c>
      <c r="H11" s="276">
        <f>SUM(H12,H17)</f>
        <v>574843.1</v>
      </c>
      <c r="I11" s="276">
        <f>SUM(I12,I17)</f>
        <v>138102.31</v>
      </c>
      <c r="J11" s="256">
        <f aca="true" t="shared" si="0" ref="J11:J46">ROUND(H11/G11*100,1)</f>
        <v>62.5</v>
      </c>
      <c r="K11" s="32"/>
      <c r="L11" s="24"/>
      <c r="M11" s="87"/>
      <c r="N11" s="87"/>
      <c r="O11" s="87"/>
      <c r="P11" s="87"/>
      <c r="Q11" s="87"/>
    </row>
    <row r="12" spans="1:15" ht="17.25" customHeight="1">
      <c r="A12" s="103"/>
      <c r="C12" s="178"/>
      <c r="D12" s="277" t="s">
        <v>147</v>
      </c>
      <c r="E12" s="278"/>
      <c r="F12" s="74">
        <f>SUM(F13:F16)</f>
        <v>753822</v>
      </c>
      <c r="G12" s="74">
        <f>SUM(G13:G16)</f>
        <v>655015</v>
      </c>
      <c r="H12" s="74">
        <f>SUM(H13:H16)</f>
        <v>447471.73</v>
      </c>
      <c r="I12" s="74">
        <f>SUM(I13:I16)</f>
        <v>89272.96</v>
      </c>
      <c r="J12" s="279">
        <f t="shared" si="0"/>
        <v>68.3</v>
      </c>
      <c r="K12" s="26"/>
      <c r="M12" s="88"/>
      <c r="N12" s="88"/>
      <c r="O12" s="88"/>
    </row>
    <row r="13" spans="1:11" ht="16.5" customHeight="1">
      <c r="A13" s="103"/>
      <c r="B13" s="33"/>
      <c r="C13" s="280" t="s">
        <v>8</v>
      </c>
      <c r="D13" s="281" t="s">
        <v>9</v>
      </c>
      <c r="E13" s="282" t="s">
        <v>5</v>
      </c>
      <c r="F13" s="259">
        <v>640000</v>
      </c>
      <c r="G13" s="259">
        <f>640000-80000</f>
        <v>560000</v>
      </c>
      <c r="H13" s="283">
        <v>363178.09</v>
      </c>
      <c r="I13" s="283">
        <v>79924.61</v>
      </c>
      <c r="J13" s="260">
        <f t="shared" si="0"/>
        <v>64.9</v>
      </c>
      <c r="K13" s="26"/>
    </row>
    <row r="14" spans="1:17" ht="25.5">
      <c r="A14" s="103"/>
      <c r="B14" s="33"/>
      <c r="C14" s="280" t="s">
        <v>10</v>
      </c>
      <c r="D14" s="264" t="s">
        <v>11</v>
      </c>
      <c r="E14" s="265" t="s">
        <v>5</v>
      </c>
      <c r="F14" s="284">
        <v>111922</v>
      </c>
      <c r="G14" s="284">
        <f>111922-18807</f>
        <v>93115</v>
      </c>
      <c r="H14" s="285">
        <v>83507.37</v>
      </c>
      <c r="I14" s="285">
        <v>9278.69</v>
      </c>
      <c r="J14" s="266">
        <f t="shared" si="0"/>
        <v>89.7</v>
      </c>
      <c r="K14" s="26"/>
      <c r="M14" s="88"/>
      <c r="N14" s="88"/>
      <c r="O14" s="88"/>
      <c r="P14" s="88"/>
      <c r="Q14" s="88"/>
    </row>
    <row r="15" spans="1:11" ht="15">
      <c r="A15" s="103"/>
      <c r="B15" s="33"/>
      <c r="C15" s="280" t="s">
        <v>12</v>
      </c>
      <c r="D15" s="264" t="s">
        <v>13</v>
      </c>
      <c r="E15" s="265" t="s">
        <v>5</v>
      </c>
      <c r="F15" s="284">
        <v>1014</v>
      </c>
      <c r="G15" s="284">
        <v>1014</v>
      </c>
      <c r="H15" s="285">
        <v>440.29</v>
      </c>
      <c r="I15" s="285">
        <v>44.99</v>
      </c>
      <c r="J15" s="263">
        <f t="shared" si="0"/>
        <v>43.4</v>
      </c>
      <c r="K15" s="26"/>
    </row>
    <row r="16" spans="1:17" ht="15">
      <c r="A16" s="103"/>
      <c r="B16" s="33"/>
      <c r="C16" s="280" t="s">
        <v>10</v>
      </c>
      <c r="D16" s="264" t="s">
        <v>14</v>
      </c>
      <c r="E16" s="265" t="s">
        <v>5</v>
      </c>
      <c r="F16" s="284">
        <v>886</v>
      </c>
      <c r="G16" s="284">
        <v>886</v>
      </c>
      <c r="H16" s="285">
        <v>345.98</v>
      </c>
      <c r="I16" s="285">
        <v>24.67</v>
      </c>
      <c r="J16" s="263">
        <f t="shared" si="0"/>
        <v>39</v>
      </c>
      <c r="K16" s="26"/>
      <c r="M16" s="88"/>
      <c r="N16" s="88"/>
      <c r="O16" s="88"/>
      <c r="P16" s="88"/>
      <c r="Q16" s="127"/>
    </row>
    <row r="17" spans="1:13" ht="17.25" customHeight="1">
      <c r="A17" s="103"/>
      <c r="B17" s="33"/>
      <c r="C17" s="280"/>
      <c r="D17" s="286" t="s">
        <v>354</v>
      </c>
      <c r="E17" s="287"/>
      <c r="F17" s="288">
        <f>SUM(F18:F21)</f>
        <v>191700</v>
      </c>
      <c r="G17" s="288">
        <f>SUM(G18:G21)</f>
        <v>264482</v>
      </c>
      <c r="H17" s="288">
        <f>SUM(H18:H21)</f>
        <v>127371.37</v>
      </c>
      <c r="I17" s="288">
        <f>SUM(I18:I21)</f>
        <v>48829.35</v>
      </c>
      <c r="J17" s="289">
        <f t="shared" si="0"/>
        <v>48.2</v>
      </c>
      <c r="K17" s="26"/>
      <c r="M17" s="88"/>
    </row>
    <row r="18" spans="1:11" ht="16.5" customHeight="1">
      <c r="A18" s="103" t="s">
        <v>15</v>
      </c>
      <c r="B18" s="33"/>
      <c r="C18" s="92"/>
      <c r="D18" s="281" t="s">
        <v>148</v>
      </c>
      <c r="E18" s="282" t="s">
        <v>1</v>
      </c>
      <c r="F18" s="259">
        <v>140000</v>
      </c>
      <c r="G18" s="259">
        <v>140000</v>
      </c>
      <c r="H18" s="283">
        <v>66060.12</v>
      </c>
      <c r="I18" s="283">
        <v>29835.6</v>
      </c>
      <c r="J18" s="260">
        <f t="shared" si="0"/>
        <v>47.2</v>
      </c>
      <c r="K18" s="26"/>
    </row>
    <row r="19" spans="1:17" ht="34.5" customHeight="1">
      <c r="A19" s="103" t="s">
        <v>15</v>
      </c>
      <c r="B19" s="33"/>
      <c r="C19" s="290"/>
      <c r="D19" s="281" t="s">
        <v>300</v>
      </c>
      <c r="E19" s="282" t="s">
        <v>1</v>
      </c>
      <c r="F19" s="259"/>
      <c r="G19" s="259">
        <v>10788</v>
      </c>
      <c r="H19" s="283">
        <v>531</v>
      </c>
      <c r="I19" s="283"/>
      <c r="J19" s="266">
        <f t="shared" si="0"/>
        <v>4.9</v>
      </c>
      <c r="K19" s="26"/>
      <c r="N19" s="88"/>
      <c r="O19" s="88"/>
      <c r="P19" s="88"/>
      <c r="Q19" s="88"/>
    </row>
    <row r="20" spans="1:11" ht="16.5" customHeight="1">
      <c r="A20" s="103"/>
      <c r="B20" s="33"/>
      <c r="C20" s="291" t="s">
        <v>15</v>
      </c>
      <c r="D20" s="292" t="s">
        <v>293</v>
      </c>
      <c r="E20" s="282" t="s">
        <v>1</v>
      </c>
      <c r="F20" s="293"/>
      <c r="G20" s="293">
        <f>45000+16994</f>
        <v>61994</v>
      </c>
      <c r="H20" s="294">
        <v>33644</v>
      </c>
      <c r="I20" s="294">
        <v>16944</v>
      </c>
      <c r="J20" s="279">
        <f t="shared" si="0"/>
        <v>54.3</v>
      </c>
      <c r="K20" s="26"/>
    </row>
    <row r="21" spans="1:16" s="25" customFormat="1" ht="16.5" customHeight="1">
      <c r="A21" s="104"/>
      <c r="B21" s="27" t="s">
        <v>16</v>
      </c>
      <c r="C21" s="267"/>
      <c r="D21" s="268" t="s">
        <v>149</v>
      </c>
      <c r="E21" s="269" t="s">
        <v>1</v>
      </c>
      <c r="F21" s="270">
        <v>51700</v>
      </c>
      <c r="G21" s="270">
        <v>51700</v>
      </c>
      <c r="H21" s="295">
        <v>27136.25</v>
      </c>
      <c r="I21" s="295">
        <v>2049.75</v>
      </c>
      <c r="J21" s="271">
        <f t="shared" si="0"/>
        <v>52.5</v>
      </c>
      <c r="K21" s="28"/>
      <c r="L21" s="24"/>
      <c r="M21" s="87"/>
      <c r="N21" s="87"/>
      <c r="O21" s="87"/>
      <c r="P21" s="87"/>
    </row>
    <row r="22" spans="1:17" s="25" customFormat="1" ht="22.5" customHeight="1">
      <c r="A22" s="105"/>
      <c r="B22" s="22"/>
      <c r="C22" s="251"/>
      <c r="D22" s="296" t="s">
        <v>150</v>
      </c>
      <c r="E22" s="297"/>
      <c r="F22" s="276">
        <f>SUM(F24,F26,F84,F91,F94)</f>
        <v>16697671</v>
      </c>
      <c r="G22" s="276">
        <f>SUM(G23,G26,G91,G94,G87)</f>
        <v>18152063</v>
      </c>
      <c r="H22" s="276">
        <f>SUM(H23,H26,H91,H94,H87)</f>
        <v>3736539.55</v>
      </c>
      <c r="I22" s="276">
        <f>SUM(I23,I26,I91,I94,I87)</f>
        <v>1226667.29</v>
      </c>
      <c r="J22" s="298">
        <f t="shared" si="0"/>
        <v>20.6</v>
      </c>
      <c r="K22" s="32"/>
      <c r="L22" s="24"/>
      <c r="M22" s="87"/>
      <c r="N22" s="87"/>
      <c r="O22" s="87"/>
      <c r="P22" s="87"/>
      <c r="Q22" s="87"/>
    </row>
    <row r="23" spans="1:17" s="25" customFormat="1" ht="22.5" customHeight="1">
      <c r="A23" s="102"/>
      <c r="B23" s="21"/>
      <c r="C23" s="272"/>
      <c r="D23" s="299" t="s">
        <v>301</v>
      </c>
      <c r="E23" s="300"/>
      <c r="F23" s="301"/>
      <c r="G23" s="301">
        <f>SUM(G24,G25)</f>
        <v>220485</v>
      </c>
      <c r="H23" s="301">
        <f>SUM(H24,H25)</f>
        <v>220485</v>
      </c>
      <c r="I23" s="301">
        <f>SUM(I24,I25)</f>
        <v>0</v>
      </c>
      <c r="J23" s="279">
        <f t="shared" si="0"/>
        <v>100</v>
      </c>
      <c r="K23" s="116">
        <f>SUM(K24,K25)</f>
        <v>0</v>
      </c>
      <c r="L23" s="24"/>
      <c r="M23" s="87"/>
      <c r="N23" s="87"/>
      <c r="O23" s="87"/>
      <c r="P23" s="87"/>
      <c r="Q23" s="87"/>
    </row>
    <row r="24" spans="1:16" s="12" customFormat="1" ht="28.5" customHeight="1">
      <c r="A24" s="103"/>
      <c r="B24" s="33"/>
      <c r="C24" s="291" t="s">
        <v>151</v>
      </c>
      <c r="D24" s="302" t="s">
        <v>355</v>
      </c>
      <c r="E24" s="303" t="s">
        <v>1</v>
      </c>
      <c r="F24" s="74">
        <v>50000</v>
      </c>
      <c r="G24" s="293">
        <v>50000</v>
      </c>
      <c r="H24" s="119">
        <v>50000</v>
      </c>
      <c r="I24" s="119"/>
      <c r="J24" s="304">
        <f t="shared" si="0"/>
        <v>100</v>
      </c>
      <c r="K24" s="26"/>
      <c r="L24" s="34"/>
      <c r="M24" s="106"/>
      <c r="N24" s="106"/>
      <c r="O24" s="106"/>
      <c r="P24" s="106"/>
    </row>
    <row r="25" spans="1:16" s="12" customFormat="1" ht="28.5" customHeight="1">
      <c r="A25" s="103"/>
      <c r="B25" s="33"/>
      <c r="C25" s="291" t="s">
        <v>151</v>
      </c>
      <c r="D25" s="302" t="s">
        <v>302</v>
      </c>
      <c r="E25" s="303" t="s">
        <v>1</v>
      </c>
      <c r="F25" s="74"/>
      <c r="G25" s="293">
        <v>170485</v>
      </c>
      <c r="H25" s="119">
        <v>170485</v>
      </c>
      <c r="I25" s="119"/>
      <c r="J25" s="304">
        <f t="shared" si="0"/>
        <v>100</v>
      </c>
      <c r="K25" s="26"/>
      <c r="L25" s="34"/>
      <c r="M25" s="106"/>
      <c r="N25" s="106"/>
      <c r="O25" s="106"/>
      <c r="P25" s="106"/>
    </row>
    <row r="26" spans="1:15" s="12" customFormat="1" ht="17.25" customHeight="1">
      <c r="A26" s="103"/>
      <c r="C26" s="178"/>
      <c r="D26" s="305" t="s">
        <v>303</v>
      </c>
      <c r="E26" s="303"/>
      <c r="F26" s="306">
        <f>SUM(F27,F50:F60,F81,F82,)</f>
        <v>16137671</v>
      </c>
      <c r="G26" s="307">
        <f>SUM(G27,G50,G54,G60,G81,G82,G84,G83)</f>
        <v>16488046</v>
      </c>
      <c r="H26" s="307">
        <f>SUM(H27,H50,H54,H60,H81,H82,H84,H83)</f>
        <v>3209972.04</v>
      </c>
      <c r="I26" s="307">
        <f>SUM(I27,I50,I54,I60,I81,I82,I84,I83)</f>
        <v>1225959.29</v>
      </c>
      <c r="J26" s="279">
        <f t="shared" si="0"/>
        <v>19.5</v>
      </c>
      <c r="K26" s="26"/>
      <c r="L26" s="117"/>
      <c r="M26" s="117"/>
      <c r="N26" s="117"/>
      <c r="O26" s="117"/>
    </row>
    <row r="27" spans="1:17" ht="17.25" customHeight="1">
      <c r="A27" s="103"/>
      <c r="C27" s="178"/>
      <c r="D27" s="308" t="s">
        <v>19</v>
      </c>
      <c r="E27" s="309"/>
      <c r="F27" s="310">
        <f>SUM(F28:F48)+50000</f>
        <v>10715000</v>
      </c>
      <c r="G27" s="310">
        <f>SUM(G28:G46,G48:G49)</f>
        <v>10791800</v>
      </c>
      <c r="H27" s="310">
        <f>SUM(H28:H46,H48,H49)</f>
        <v>2018572.1800000002</v>
      </c>
      <c r="I27" s="310">
        <f>SUM(I28:I46,I48,I49)</f>
        <v>687334.62</v>
      </c>
      <c r="J27" s="260">
        <f t="shared" si="0"/>
        <v>18.7</v>
      </c>
      <c r="K27" s="26"/>
      <c r="M27" s="88"/>
      <c r="N27" s="88"/>
      <c r="O27" s="88"/>
      <c r="P27" s="88"/>
      <c r="Q27" s="128"/>
    </row>
    <row r="28" spans="1:15" ht="15">
      <c r="A28" s="103"/>
      <c r="C28" s="178" t="s">
        <v>18</v>
      </c>
      <c r="D28" s="311" t="s">
        <v>152</v>
      </c>
      <c r="E28" s="312" t="s">
        <v>1</v>
      </c>
      <c r="F28" s="284">
        <v>400000</v>
      </c>
      <c r="G28" s="284">
        <v>400000</v>
      </c>
      <c r="H28" s="285">
        <v>70262.55</v>
      </c>
      <c r="I28" s="285">
        <v>48163.35</v>
      </c>
      <c r="J28" s="313">
        <f t="shared" si="0"/>
        <v>17.6</v>
      </c>
      <c r="K28" s="26"/>
      <c r="L28" s="118"/>
      <c r="M28" s="118"/>
      <c r="N28" s="118"/>
      <c r="O28" s="118"/>
    </row>
    <row r="29" spans="1:17" ht="15">
      <c r="A29" s="103"/>
      <c r="C29" s="178" t="s">
        <v>18</v>
      </c>
      <c r="D29" s="314" t="s">
        <v>152</v>
      </c>
      <c r="E29" s="315" t="s">
        <v>1</v>
      </c>
      <c r="F29" s="316">
        <v>3400000</v>
      </c>
      <c r="G29" s="316">
        <v>3400000</v>
      </c>
      <c r="H29" s="317">
        <v>235948.44</v>
      </c>
      <c r="I29" s="317">
        <v>235948.44</v>
      </c>
      <c r="J29" s="318">
        <f t="shared" si="0"/>
        <v>6.9</v>
      </c>
      <c r="K29" s="26"/>
      <c r="M29" s="88"/>
      <c r="N29" s="88"/>
      <c r="O29" s="88"/>
      <c r="P29" s="88"/>
      <c r="Q29" s="88"/>
    </row>
    <row r="30" spans="1:15" ht="15">
      <c r="A30" s="103"/>
      <c r="C30" s="178" t="s">
        <v>18</v>
      </c>
      <c r="D30" s="311" t="s">
        <v>153</v>
      </c>
      <c r="E30" s="312" t="s">
        <v>1</v>
      </c>
      <c r="F30" s="284">
        <v>420000</v>
      </c>
      <c r="G30" s="284">
        <f>420000-110000+110000</f>
        <v>420000</v>
      </c>
      <c r="H30" s="285">
        <v>6000</v>
      </c>
      <c r="I30" s="285"/>
      <c r="J30" s="263">
        <f t="shared" si="0"/>
        <v>1.4</v>
      </c>
      <c r="K30" s="26"/>
      <c r="L30" s="118"/>
      <c r="M30" s="118"/>
      <c r="N30" s="118"/>
      <c r="O30" s="118"/>
    </row>
    <row r="31" spans="1:11" ht="15">
      <c r="A31" s="103"/>
      <c r="C31" s="178" t="s">
        <v>18</v>
      </c>
      <c r="D31" s="314" t="s">
        <v>153</v>
      </c>
      <c r="E31" s="315" t="s">
        <v>1</v>
      </c>
      <c r="F31" s="316">
        <v>2800000</v>
      </c>
      <c r="G31" s="316">
        <v>2800000</v>
      </c>
      <c r="H31" s="317"/>
      <c r="I31" s="317"/>
      <c r="J31" s="319">
        <f t="shared" si="0"/>
        <v>0</v>
      </c>
      <c r="K31" s="26"/>
    </row>
    <row r="32" spans="1:15" ht="15">
      <c r="A32" s="103"/>
      <c r="C32" s="178" t="s">
        <v>18</v>
      </c>
      <c r="D32" s="311" t="s">
        <v>154</v>
      </c>
      <c r="E32" s="312" t="s">
        <v>1</v>
      </c>
      <c r="F32" s="284">
        <v>1030000</v>
      </c>
      <c r="G32" s="284">
        <v>1030000</v>
      </c>
      <c r="H32" s="285">
        <v>783854.88</v>
      </c>
      <c r="I32" s="285">
        <v>14990.52</v>
      </c>
      <c r="J32" s="263">
        <f t="shared" si="0"/>
        <v>76.1</v>
      </c>
      <c r="K32" s="26"/>
      <c r="L32" s="118"/>
      <c r="M32" s="118"/>
      <c r="N32" s="118"/>
      <c r="O32" s="118"/>
    </row>
    <row r="33" spans="1:17" ht="15">
      <c r="A33" s="103"/>
      <c r="C33" s="178" t="s">
        <v>18</v>
      </c>
      <c r="D33" s="311" t="s">
        <v>155</v>
      </c>
      <c r="E33" s="312" t="s">
        <v>1</v>
      </c>
      <c r="F33" s="284">
        <v>500000</v>
      </c>
      <c r="G33" s="284">
        <f>500000-2000</f>
        <v>498000</v>
      </c>
      <c r="H33" s="285">
        <v>416683.47</v>
      </c>
      <c r="I33" s="285">
        <v>256221.3</v>
      </c>
      <c r="J33" s="263">
        <f t="shared" si="0"/>
        <v>83.7</v>
      </c>
      <c r="K33" s="26"/>
      <c r="M33" s="88"/>
      <c r="N33" s="88"/>
      <c r="O33" s="88"/>
      <c r="P33" s="88"/>
      <c r="Q33" s="88"/>
    </row>
    <row r="34" spans="1:11" ht="15">
      <c r="A34" s="103"/>
      <c r="C34" s="178" t="s">
        <v>18</v>
      </c>
      <c r="D34" s="314" t="s">
        <v>155</v>
      </c>
      <c r="E34" s="315" t="s">
        <v>1</v>
      </c>
      <c r="F34" s="316">
        <v>500000</v>
      </c>
      <c r="G34" s="316">
        <v>500000</v>
      </c>
      <c r="H34" s="317"/>
      <c r="I34" s="317"/>
      <c r="J34" s="320">
        <f t="shared" si="0"/>
        <v>0</v>
      </c>
      <c r="K34" s="26"/>
    </row>
    <row r="35" spans="1:15" ht="15">
      <c r="A35" s="103"/>
      <c r="C35" s="178" t="s">
        <v>18</v>
      </c>
      <c r="D35" s="311" t="s">
        <v>294</v>
      </c>
      <c r="E35" s="312" t="s">
        <v>1</v>
      </c>
      <c r="F35" s="284"/>
      <c r="G35" s="284">
        <v>2000</v>
      </c>
      <c r="H35" s="285">
        <v>2000</v>
      </c>
      <c r="I35" s="285"/>
      <c r="J35" s="263">
        <f t="shared" si="0"/>
        <v>100</v>
      </c>
      <c r="K35" s="26"/>
      <c r="M35" s="88"/>
      <c r="N35" s="88"/>
      <c r="O35" s="88"/>
    </row>
    <row r="36" spans="1:11" ht="15">
      <c r="A36" s="103"/>
      <c r="C36" s="178" t="s">
        <v>18</v>
      </c>
      <c r="D36" s="311" t="s">
        <v>304</v>
      </c>
      <c r="E36" s="312" t="s">
        <v>1</v>
      </c>
      <c r="F36" s="284"/>
      <c r="G36" s="284">
        <v>355000</v>
      </c>
      <c r="H36" s="285">
        <v>18608.61</v>
      </c>
      <c r="I36" s="285">
        <v>18608.61</v>
      </c>
      <c r="J36" s="313">
        <f t="shared" si="0"/>
        <v>5.2</v>
      </c>
      <c r="K36" s="26"/>
    </row>
    <row r="37" spans="1:17" s="14" customFormat="1" ht="15">
      <c r="A37" s="103"/>
      <c r="B37" s="12"/>
      <c r="C37" s="178" t="s">
        <v>18</v>
      </c>
      <c r="D37" s="311" t="s">
        <v>156</v>
      </c>
      <c r="E37" s="312" t="s">
        <v>1</v>
      </c>
      <c r="F37" s="284">
        <v>450000</v>
      </c>
      <c r="G37" s="284">
        <f>450000-430000</f>
        <v>20000</v>
      </c>
      <c r="H37" s="285"/>
      <c r="I37" s="285"/>
      <c r="J37" s="321">
        <f t="shared" si="0"/>
        <v>0</v>
      </c>
      <c r="K37" s="26"/>
      <c r="M37" s="15"/>
      <c r="N37" s="15"/>
      <c r="O37" s="15"/>
      <c r="P37" s="15"/>
      <c r="Q37" s="15"/>
    </row>
    <row r="38" spans="1:17" s="14" customFormat="1" ht="15">
      <c r="A38" s="103"/>
      <c r="B38" s="12"/>
      <c r="C38" s="178" t="s">
        <v>18</v>
      </c>
      <c r="D38" s="311" t="s">
        <v>157</v>
      </c>
      <c r="E38" s="312" t="s">
        <v>1</v>
      </c>
      <c r="F38" s="284">
        <v>250000</v>
      </c>
      <c r="G38" s="284">
        <f>250000+50000</f>
        <v>300000</v>
      </c>
      <c r="H38" s="285">
        <v>19604</v>
      </c>
      <c r="I38" s="285">
        <v>6350</v>
      </c>
      <c r="J38" s="263">
        <f t="shared" si="0"/>
        <v>6.5</v>
      </c>
      <c r="K38" s="26"/>
      <c r="M38" s="15"/>
      <c r="N38" s="15"/>
      <c r="O38" s="15"/>
      <c r="P38" s="15"/>
      <c r="Q38" s="15"/>
    </row>
    <row r="39" spans="1:17" s="14" customFormat="1" ht="15">
      <c r="A39" s="103"/>
      <c r="B39" s="12"/>
      <c r="C39" s="178" t="s">
        <v>18</v>
      </c>
      <c r="D39" s="311" t="s">
        <v>158</v>
      </c>
      <c r="E39" s="312" t="s">
        <v>1</v>
      </c>
      <c r="F39" s="284">
        <v>160000</v>
      </c>
      <c r="G39" s="284">
        <v>160000</v>
      </c>
      <c r="H39" s="285">
        <v>148825.6</v>
      </c>
      <c r="I39" s="285"/>
      <c r="J39" s="263">
        <f t="shared" si="0"/>
        <v>93</v>
      </c>
      <c r="K39" s="26"/>
      <c r="M39" s="15"/>
      <c r="N39" s="15"/>
      <c r="O39" s="15"/>
      <c r="P39" s="15"/>
      <c r="Q39" s="15"/>
    </row>
    <row r="40" spans="1:17" s="14" customFormat="1" ht="15">
      <c r="A40" s="103"/>
      <c r="B40" s="12"/>
      <c r="C40" s="178" t="s">
        <v>18</v>
      </c>
      <c r="D40" s="311" t="s">
        <v>159</v>
      </c>
      <c r="E40" s="312" t="s">
        <v>1</v>
      </c>
      <c r="F40" s="284">
        <v>100000</v>
      </c>
      <c r="G40" s="284">
        <f>100000+25000</f>
        <v>125000</v>
      </c>
      <c r="H40" s="285">
        <v>9400</v>
      </c>
      <c r="I40" s="285">
        <v>3400</v>
      </c>
      <c r="J40" s="313">
        <f t="shared" si="0"/>
        <v>7.5</v>
      </c>
      <c r="K40" s="26"/>
      <c r="M40" s="15"/>
      <c r="N40" s="15"/>
      <c r="O40" s="15"/>
      <c r="P40" s="15"/>
      <c r="Q40" s="15"/>
    </row>
    <row r="41" spans="1:17" s="14" customFormat="1" ht="15">
      <c r="A41" s="103"/>
      <c r="B41" s="12"/>
      <c r="C41" s="178" t="s">
        <v>18</v>
      </c>
      <c r="D41" s="311" t="s">
        <v>160</v>
      </c>
      <c r="E41" s="312" t="s">
        <v>1</v>
      </c>
      <c r="F41" s="284">
        <v>100000</v>
      </c>
      <c r="G41" s="284">
        <f>100000+65000</f>
        <v>165000</v>
      </c>
      <c r="H41" s="285">
        <v>131093.4</v>
      </c>
      <c r="I41" s="285">
        <v>71039.4</v>
      </c>
      <c r="J41" s="266">
        <f t="shared" si="0"/>
        <v>79.5</v>
      </c>
      <c r="K41" s="26"/>
      <c r="M41" s="15"/>
      <c r="N41" s="15"/>
      <c r="O41" s="15"/>
      <c r="P41" s="15"/>
      <c r="Q41" s="15"/>
    </row>
    <row r="42" spans="1:17" s="14" customFormat="1" ht="15">
      <c r="A42" s="103"/>
      <c r="B42" s="12"/>
      <c r="C42" s="178" t="s">
        <v>18</v>
      </c>
      <c r="D42" s="311" t="s">
        <v>161</v>
      </c>
      <c r="E42" s="312" t="s">
        <v>1</v>
      </c>
      <c r="F42" s="284">
        <v>80000</v>
      </c>
      <c r="G42" s="284">
        <v>80000</v>
      </c>
      <c r="H42" s="285">
        <v>9180</v>
      </c>
      <c r="I42" s="285"/>
      <c r="J42" s="263">
        <f t="shared" si="0"/>
        <v>11.5</v>
      </c>
      <c r="K42" s="26"/>
      <c r="M42" s="15"/>
      <c r="N42" s="15"/>
      <c r="O42" s="15"/>
      <c r="P42" s="15"/>
      <c r="Q42" s="15"/>
    </row>
    <row r="43" spans="1:17" s="14" customFormat="1" ht="15">
      <c r="A43" s="103"/>
      <c r="B43" s="12"/>
      <c r="C43" s="178" t="s">
        <v>18</v>
      </c>
      <c r="D43" s="311" t="s">
        <v>162</v>
      </c>
      <c r="E43" s="312" t="s">
        <v>1</v>
      </c>
      <c r="F43" s="284">
        <v>60000</v>
      </c>
      <c r="G43" s="284">
        <v>60000</v>
      </c>
      <c r="H43" s="285">
        <v>60904.63</v>
      </c>
      <c r="I43" s="285"/>
      <c r="J43" s="263">
        <f t="shared" si="0"/>
        <v>101.5</v>
      </c>
      <c r="K43" s="26"/>
      <c r="M43" s="15"/>
      <c r="N43" s="15"/>
      <c r="O43" s="15"/>
      <c r="P43" s="15"/>
      <c r="Q43" s="15"/>
    </row>
    <row r="44" spans="1:17" s="14" customFormat="1" ht="26.25">
      <c r="A44" s="103"/>
      <c r="B44" s="12"/>
      <c r="C44" s="178" t="s">
        <v>8</v>
      </c>
      <c r="D44" s="311" t="s">
        <v>163</v>
      </c>
      <c r="E44" s="312" t="s">
        <v>3</v>
      </c>
      <c r="F44" s="284">
        <v>45000</v>
      </c>
      <c r="G44" s="284">
        <v>45000</v>
      </c>
      <c r="H44" s="285">
        <v>45000</v>
      </c>
      <c r="I44" s="285"/>
      <c r="J44" s="266">
        <f>ROUND(H44/G44*100,1)</f>
        <v>100</v>
      </c>
      <c r="K44" s="26"/>
      <c r="M44" s="15"/>
      <c r="N44" s="15"/>
      <c r="O44" s="15"/>
      <c r="P44" s="15"/>
      <c r="Q44" s="15"/>
    </row>
    <row r="45" spans="1:17" s="14" customFormat="1" ht="26.25">
      <c r="A45" s="103"/>
      <c r="B45" s="12"/>
      <c r="C45" s="178" t="s">
        <v>18</v>
      </c>
      <c r="D45" s="311" t="s">
        <v>164</v>
      </c>
      <c r="E45" s="312" t="s">
        <v>3</v>
      </c>
      <c r="F45" s="284">
        <v>10000</v>
      </c>
      <c r="G45" s="284">
        <v>10000</v>
      </c>
      <c r="H45" s="285">
        <v>1713</v>
      </c>
      <c r="I45" s="285">
        <v>1713</v>
      </c>
      <c r="J45" s="266">
        <f t="shared" si="0"/>
        <v>17.1</v>
      </c>
      <c r="K45" s="26"/>
      <c r="M45" s="15"/>
      <c r="N45" s="15"/>
      <c r="O45" s="15"/>
      <c r="P45" s="15"/>
      <c r="Q45" s="15"/>
    </row>
    <row r="46" spans="1:17" s="14" customFormat="1" ht="15">
      <c r="A46" s="103"/>
      <c r="B46" s="12"/>
      <c r="C46" s="178" t="s">
        <v>18</v>
      </c>
      <c r="D46" s="311" t="s">
        <v>165</v>
      </c>
      <c r="E46" s="312" t="s">
        <v>1</v>
      </c>
      <c r="F46" s="284">
        <f>300000</f>
        <v>300000</v>
      </c>
      <c r="G46" s="284">
        <v>300000</v>
      </c>
      <c r="H46" s="285">
        <f>SUM(H47)</f>
        <v>28593.6</v>
      </c>
      <c r="I46" s="285"/>
      <c r="J46" s="263">
        <f t="shared" si="0"/>
        <v>9.5</v>
      </c>
      <c r="K46" s="26"/>
      <c r="M46" s="15"/>
      <c r="N46" s="15"/>
      <c r="O46" s="15"/>
      <c r="P46" s="15"/>
      <c r="Q46" s="15"/>
    </row>
    <row r="47" spans="1:17" s="14" customFormat="1" ht="15">
      <c r="A47" s="103"/>
      <c r="B47" s="12"/>
      <c r="C47" s="178" t="s">
        <v>18</v>
      </c>
      <c r="D47" s="311" t="s">
        <v>295</v>
      </c>
      <c r="E47" s="312"/>
      <c r="F47" s="284"/>
      <c r="G47" s="284">
        <v>28594</v>
      </c>
      <c r="H47" s="285">
        <v>28593.6</v>
      </c>
      <c r="I47" s="285"/>
      <c r="J47" s="322"/>
      <c r="K47" s="26"/>
      <c r="M47" s="15"/>
      <c r="N47" s="15"/>
      <c r="O47" s="15"/>
      <c r="P47" s="15"/>
      <c r="Q47" s="15"/>
    </row>
    <row r="48" spans="1:17" s="14" customFormat="1" ht="15">
      <c r="A48" s="103"/>
      <c r="B48" s="12"/>
      <c r="C48" s="178" t="s">
        <v>18</v>
      </c>
      <c r="D48" s="323" t="s">
        <v>166</v>
      </c>
      <c r="E48" s="312" t="s">
        <v>1</v>
      </c>
      <c r="F48" s="284">
        <v>60000</v>
      </c>
      <c r="G48" s="284">
        <v>60000</v>
      </c>
      <c r="H48" s="285"/>
      <c r="I48" s="285"/>
      <c r="J48" s="322">
        <f>ROUND(H48/G48*100,1)</f>
        <v>0</v>
      </c>
      <c r="K48" s="26"/>
      <c r="M48" s="15"/>
      <c r="N48" s="15"/>
      <c r="O48" s="15"/>
      <c r="P48" s="15"/>
      <c r="Q48" s="15"/>
    </row>
    <row r="49" spans="1:17" s="14" customFormat="1" ht="15">
      <c r="A49" s="103"/>
      <c r="B49" s="12"/>
      <c r="C49" s="178" t="s">
        <v>18</v>
      </c>
      <c r="D49" s="323" t="s">
        <v>167</v>
      </c>
      <c r="E49" s="312" t="s">
        <v>1</v>
      </c>
      <c r="F49" s="284">
        <v>50000</v>
      </c>
      <c r="G49" s="284">
        <v>61800</v>
      </c>
      <c r="H49" s="285">
        <v>30900</v>
      </c>
      <c r="I49" s="285">
        <v>30900</v>
      </c>
      <c r="J49" s="322"/>
      <c r="K49" s="26"/>
      <c r="M49" s="15"/>
      <c r="N49" s="15"/>
      <c r="O49" s="15"/>
      <c r="P49" s="15"/>
      <c r="Q49" s="15"/>
    </row>
    <row r="50" spans="1:17" s="14" customFormat="1" ht="15">
      <c r="A50" s="103"/>
      <c r="B50" s="12"/>
      <c r="C50" s="178" t="s">
        <v>18</v>
      </c>
      <c r="D50" s="324" t="s">
        <v>20</v>
      </c>
      <c r="E50" s="312" t="s">
        <v>1</v>
      </c>
      <c r="F50" s="325">
        <v>164000</v>
      </c>
      <c r="G50" s="325">
        <v>164000</v>
      </c>
      <c r="H50" s="326">
        <f>SUM(H51:H53)</f>
        <v>153063.72999999998</v>
      </c>
      <c r="I50" s="326">
        <f>SUM(I51:I53)</f>
        <v>113780.65</v>
      </c>
      <c r="J50" s="263">
        <f>ROUND(H50/G50*100,1)</f>
        <v>93.3</v>
      </c>
      <c r="K50" s="26"/>
      <c r="M50" s="15"/>
      <c r="N50" s="15"/>
      <c r="O50" s="15"/>
      <c r="P50" s="15"/>
      <c r="Q50" s="15"/>
    </row>
    <row r="51" spans="1:17" s="14" customFormat="1" ht="15">
      <c r="A51" s="103"/>
      <c r="B51" s="12"/>
      <c r="C51" s="178"/>
      <c r="D51" s="323" t="s">
        <v>339</v>
      </c>
      <c r="E51" s="312"/>
      <c r="F51" s="325"/>
      <c r="G51" s="325"/>
      <c r="H51" s="285">
        <v>22162.21</v>
      </c>
      <c r="I51" s="285">
        <v>15876.25</v>
      </c>
      <c r="J51" s="322"/>
      <c r="K51" s="26"/>
      <c r="M51" s="15"/>
      <c r="N51" s="15"/>
      <c r="O51" s="15"/>
      <c r="P51" s="15"/>
      <c r="Q51" s="15"/>
    </row>
    <row r="52" spans="1:17" s="14" customFormat="1" ht="15">
      <c r="A52" s="103"/>
      <c r="B52" s="12"/>
      <c r="C52" s="178"/>
      <c r="D52" s="323" t="s">
        <v>340</v>
      </c>
      <c r="E52" s="312"/>
      <c r="F52" s="325"/>
      <c r="G52" s="325"/>
      <c r="H52" s="285">
        <v>21575.1</v>
      </c>
      <c r="I52" s="285">
        <v>21575.1</v>
      </c>
      <c r="J52" s="322"/>
      <c r="K52" s="26"/>
      <c r="M52" s="15"/>
      <c r="N52" s="15"/>
      <c r="O52" s="15"/>
      <c r="P52" s="15"/>
      <c r="Q52" s="15"/>
    </row>
    <row r="53" spans="1:17" s="14" customFormat="1" ht="15">
      <c r="A53" s="103"/>
      <c r="B53" s="12"/>
      <c r="C53" s="178"/>
      <c r="D53" s="323" t="s">
        <v>341</v>
      </c>
      <c r="E53" s="312"/>
      <c r="F53" s="325"/>
      <c r="G53" s="325"/>
      <c r="H53" s="285">
        <v>109326.42</v>
      </c>
      <c r="I53" s="285">
        <v>76329.3</v>
      </c>
      <c r="J53" s="322"/>
      <c r="K53" s="26"/>
      <c r="M53" s="15"/>
      <c r="N53" s="15"/>
      <c r="O53" s="15"/>
      <c r="P53" s="15"/>
      <c r="Q53" s="15"/>
    </row>
    <row r="54" spans="1:17" s="14" customFormat="1" ht="15">
      <c r="A54" s="103"/>
      <c r="B54" s="12"/>
      <c r="C54" s="178" t="s">
        <v>18</v>
      </c>
      <c r="D54" s="324" t="s">
        <v>21</v>
      </c>
      <c r="E54" s="312" t="s">
        <v>1</v>
      </c>
      <c r="F54" s="325">
        <v>1209000</v>
      </c>
      <c r="G54" s="325">
        <f>1209000+110000+61075-110000</f>
        <v>1270075</v>
      </c>
      <c r="H54" s="326">
        <f>SUM(H55:H59)</f>
        <v>172962.32</v>
      </c>
      <c r="I54" s="326">
        <f>SUM(I55:I59)</f>
        <v>99183.12</v>
      </c>
      <c r="J54" s="263">
        <f>ROUND(H54/G54*100,1)</f>
        <v>13.6</v>
      </c>
      <c r="K54" s="26"/>
      <c r="M54" s="15"/>
      <c r="N54" s="15"/>
      <c r="O54" s="15"/>
      <c r="P54" s="15"/>
      <c r="Q54" s="15"/>
    </row>
    <row r="55" spans="1:17" s="14" customFormat="1" ht="15">
      <c r="A55" s="103"/>
      <c r="B55" s="12"/>
      <c r="C55" s="178"/>
      <c r="D55" s="323" t="s">
        <v>296</v>
      </c>
      <c r="E55" s="312"/>
      <c r="F55" s="325"/>
      <c r="G55" s="325"/>
      <c r="H55" s="285">
        <v>25494</v>
      </c>
      <c r="I55" s="285">
        <v>2994</v>
      </c>
      <c r="J55" s="322"/>
      <c r="K55" s="26"/>
      <c r="M55" s="15"/>
      <c r="N55" s="15"/>
      <c r="O55" s="15"/>
      <c r="P55" s="15"/>
      <c r="Q55" s="15"/>
    </row>
    <row r="56" spans="1:11" ht="15">
      <c r="A56" s="103"/>
      <c r="C56" s="178"/>
      <c r="D56" s="323" t="s">
        <v>297</v>
      </c>
      <c r="E56" s="312"/>
      <c r="F56" s="325"/>
      <c r="G56" s="325"/>
      <c r="H56" s="285">
        <v>51279.2</v>
      </c>
      <c r="I56" s="285"/>
      <c r="J56" s="322"/>
      <c r="K56" s="26"/>
    </row>
    <row r="57" spans="1:11" ht="15">
      <c r="A57" s="103"/>
      <c r="C57" s="178"/>
      <c r="D57" s="323" t="s">
        <v>342</v>
      </c>
      <c r="E57" s="312"/>
      <c r="F57" s="325"/>
      <c r="G57" s="325"/>
      <c r="H57" s="285">
        <v>32376.24</v>
      </c>
      <c r="I57" s="285">
        <v>32376.24</v>
      </c>
      <c r="J57" s="322"/>
      <c r="K57" s="26"/>
    </row>
    <row r="58" spans="1:11" ht="15">
      <c r="A58" s="103"/>
      <c r="C58" s="178"/>
      <c r="D58" s="323" t="s">
        <v>343</v>
      </c>
      <c r="E58" s="312"/>
      <c r="F58" s="325"/>
      <c r="G58" s="325"/>
      <c r="H58" s="285">
        <v>61412.88</v>
      </c>
      <c r="I58" s="285">
        <v>61412.88</v>
      </c>
      <c r="J58" s="322"/>
      <c r="K58" s="26"/>
    </row>
    <row r="59" spans="1:11" ht="15">
      <c r="A59" s="103"/>
      <c r="C59" s="178"/>
      <c r="D59" s="323" t="s">
        <v>344</v>
      </c>
      <c r="E59" s="312"/>
      <c r="F59" s="325"/>
      <c r="G59" s="325"/>
      <c r="H59" s="285">
        <v>2400</v>
      </c>
      <c r="I59" s="285">
        <v>2400</v>
      </c>
      <c r="J59" s="322"/>
      <c r="K59" s="26"/>
    </row>
    <row r="60" spans="1:14" s="14" customFormat="1" ht="15">
      <c r="A60" s="103"/>
      <c r="B60" s="12"/>
      <c r="C60" s="178" t="s">
        <v>18</v>
      </c>
      <c r="D60" s="324" t="s">
        <v>168</v>
      </c>
      <c r="E60" s="312" t="s">
        <v>1</v>
      </c>
      <c r="F60" s="325">
        <f>SUM(F61:F76)</f>
        <v>3749671</v>
      </c>
      <c r="G60" s="325">
        <f>SUM(G61:G76)</f>
        <v>3765671</v>
      </c>
      <c r="H60" s="325">
        <f>SUM(H61:H76)</f>
        <v>628263.8099999999</v>
      </c>
      <c r="I60" s="325">
        <f>SUM(I61:I76)</f>
        <v>325660.9</v>
      </c>
      <c r="J60" s="263">
        <f aca="true" t="shared" si="1" ref="J60:J66">ROUND(H60/G60*100,1)</f>
        <v>16.7</v>
      </c>
      <c r="K60" s="26"/>
      <c r="M60" s="15"/>
      <c r="N60" s="15"/>
    </row>
    <row r="61" spans="1:14" s="14" customFormat="1" ht="15">
      <c r="A61" s="103"/>
      <c r="B61" s="12"/>
      <c r="C61" s="178"/>
      <c r="D61" s="323" t="s">
        <v>139</v>
      </c>
      <c r="E61" s="327"/>
      <c r="F61" s="284">
        <v>162486</v>
      </c>
      <c r="G61" s="284">
        <v>162486</v>
      </c>
      <c r="H61" s="285">
        <v>50805.89</v>
      </c>
      <c r="I61" s="285">
        <v>8538.2</v>
      </c>
      <c r="J61" s="263">
        <f t="shared" si="1"/>
        <v>31.3</v>
      </c>
      <c r="K61" s="26"/>
      <c r="M61" s="15"/>
      <c r="N61" s="15"/>
    </row>
    <row r="62" spans="1:14" s="14" customFormat="1" ht="15">
      <c r="A62" s="103"/>
      <c r="B62" s="12"/>
      <c r="C62" s="178"/>
      <c r="D62" s="328" t="s">
        <v>139</v>
      </c>
      <c r="E62" s="329"/>
      <c r="F62" s="316">
        <v>1083240</v>
      </c>
      <c r="G62" s="316">
        <v>1083240</v>
      </c>
      <c r="H62" s="285">
        <v>164502.84</v>
      </c>
      <c r="I62" s="285">
        <v>164502.84</v>
      </c>
      <c r="J62" s="263">
        <f t="shared" si="1"/>
        <v>15.2</v>
      </c>
      <c r="K62" s="26"/>
      <c r="M62" s="15"/>
      <c r="N62" s="15"/>
    </row>
    <row r="63" spans="1:14" s="14" customFormat="1" ht="15">
      <c r="A63" s="103"/>
      <c r="B63" s="12"/>
      <c r="C63" s="178"/>
      <c r="D63" s="323" t="s">
        <v>169</v>
      </c>
      <c r="E63" s="303"/>
      <c r="F63" s="284">
        <v>133059</v>
      </c>
      <c r="G63" s="284">
        <v>133059</v>
      </c>
      <c r="H63" s="330">
        <v>101557.3</v>
      </c>
      <c r="I63" s="285">
        <v>71400</v>
      </c>
      <c r="J63" s="263">
        <f t="shared" si="1"/>
        <v>76.3</v>
      </c>
      <c r="K63" s="26"/>
      <c r="M63" s="15"/>
      <c r="N63" s="15"/>
    </row>
    <row r="64" spans="1:11" ht="15">
      <c r="A64" s="103"/>
      <c r="C64" s="178"/>
      <c r="D64" s="328" t="s">
        <v>169</v>
      </c>
      <c r="E64" s="303"/>
      <c r="F64" s="316">
        <v>887060</v>
      </c>
      <c r="G64" s="316">
        <v>887060</v>
      </c>
      <c r="H64" s="317"/>
      <c r="I64" s="317"/>
      <c r="J64" s="320">
        <f t="shared" si="1"/>
        <v>0</v>
      </c>
      <c r="K64" s="26"/>
    </row>
    <row r="65" spans="1:11" ht="15">
      <c r="A65" s="103"/>
      <c r="C65" s="178"/>
      <c r="D65" s="323" t="s">
        <v>140</v>
      </c>
      <c r="E65" s="303"/>
      <c r="F65" s="284">
        <v>116586</v>
      </c>
      <c r="G65" s="284">
        <v>116586</v>
      </c>
      <c r="H65" s="285">
        <v>21356.94</v>
      </c>
      <c r="I65" s="285">
        <v>5879.34</v>
      </c>
      <c r="J65" s="263">
        <f t="shared" si="1"/>
        <v>18.3</v>
      </c>
      <c r="K65" s="26"/>
    </row>
    <row r="66" spans="1:11" ht="15">
      <c r="A66" s="103"/>
      <c r="C66" s="178"/>
      <c r="D66" s="328" t="s">
        <v>140</v>
      </c>
      <c r="E66" s="303"/>
      <c r="F66" s="316">
        <v>777240</v>
      </c>
      <c r="G66" s="316">
        <v>777240</v>
      </c>
      <c r="H66" s="317">
        <v>33316.24</v>
      </c>
      <c r="I66" s="317">
        <v>33316.24</v>
      </c>
      <c r="J66" s="320">
        <f t="shared" si="1"/>
        <v>4.3</v>
      </c>
      <c r="K66" s="26"/>
    </row>
    <row r="67" spans="1:12" ht="15">
      <c r="A67" s="103"/>
      <c r="C67" s="178"/>
      <c r="D67" s="323" t="s">
        <v>345</v>
      </c>
      <c r="E67" s="303"/>
      <c r="F67" s="284">
        <v>130000</v>
      </c>
      <c r="G67" s="284">
        <v>130000</v>
      </c>
      <c r="H67" s="285"/>
      <c r="I67" s="285"/>
      <c r="J67" s="322"/>
      <c r="K67" s="26"/>
      <c r="L67" s="15"/>
    </row>
    <row r="68" spans="1:12" ht="15">
      <c r="A68" s="103"/>
      <c r="C68" s="178"/>
      <c r="D68" s="331" t="s">
        <v>170</v>
      </c>
      <c r="E68" s="303"/>
      <c r="F68" s="284">
        <v>90000</v>
      </c>
      <c r="G68" s="284">
        <v>90000</v>
      </c>
      <c r="H68" s="285"/>
      <c r="I68" s="285"/>
      <c r="J68" s="322">
        <f aca="true" t="shared" si="2" ref="J68:J123">ROUND(H68/G68*100,1)</f>
        <v>0</v>
      </c>
      <c r="K68" s="26"/>
      <c r="L68" s="15"/>
    </row>
    <row r="69" spans="1:12" ht="15">
      <c r="A69" s="103"/>
      <c r="C69" s="178"/>
      <c r="D69" s="323" t="s">
        <v>171</v>
      </c>
      <c r="E69" s="303"/>
      <c r="F69" s="284">
        <v>80000</v>
      </c>
      <c r="G69" s="284">
        <v>80000</v>
      </c>
      <c r="H69" s="285">
        <v>59659.4</v>
      </c>
      <c r="I69" s="285">
        <v>30584.28</v>
      </c>
      <c r="J69" s="263">
        <f t="shared" si="2"/>
        <v>74.6</v>
      </c>
      <c r="K69" s="26"/>
      <c r="L69" s="15"/>
    </row>
    <row r="70" spans="1:12" ht="15">
      <c r="A70" s="103"/>
      <c r="C70" s="178"/>
      <c r="D70" s="323" t="s">
        <v>172</v>
      </c>
      <c r="E70" s="303"/>
      <c r="F70" s="284">
        <v>70000</v>
      </c>
      <c r="G70" s="284">
        <v>70000</v>
      </c>
      <c r="H70" s="285">
        <v>38630.12</v>
      </c>
      <c r="I70" s="285"/>
      <c r="J70" s="263">
        <f t="shared" si="2"/>
        <v>55.2</v>
      </c>
      <c r="K70" s="26"/>
      <c r="L70" s="15"/>
    </row>
    <row r="71" spans="1:12" ht="15">
      <c r="A71" s="103"/>
      <c r="C71" s="178"/>
      <c r="D71" s="323" t="s">
        <v>173</v>
      </c>
      <c r="E71" s="303"/>
      <c r="F71" s="284">
        <v>70000</v>
      </c>
      <c r="G71" s="284">
        <v>70000</v>
      </c>
      <c r="H71" s="285">
        <v>29966.69</v>
      </c>
      <c r="I71" s="285"/>
      <c r="J71" s="263">
        <f t="shared" si="2"/>
        <v>42.8</v>
      </c>
      <c r="K71" s="26"/>
      <c r="L71" s="15"/>
    </row>
    <row r="72" spans="1:12" ht="15">
      <c r="A72" s="103"/>
      <c r="C72" s="178"/>
      <c r="D72" s="323" t="s">
        <v>298</v>
      </c>
      <c r="E72" s="303"/>
      <c r="F72" s="284"/>
      <c r="G72" s="284">
        <f>42924+6</f>
        <v>42930</v>
      </c>
      <c r="H72" s="285">
        <v>42924</v>
      </c>
      <c r="I72" s="285"/>
      <c r="J72" s="266">
        <f t="shared" si="2"/>
        <v>100</v>
      </c>
      <c r="K72" s="26"/>
      <c r="L72" s="15"/>
    </row>
    <row r="73" spans="1:12" ht="15">
      <c r="A73" s="103"/>
      <c r="C73" s="178"/>
      <c r="D73" s="323" t="s">
        <v>299</v>
      </c>
      <c r="E73" s="303"/>
      <c r="F73" s="284"/>
      <c r="G73" s="284">
        <f>40026+4</f>
        <v>40030</v>
      </c>
      <c r="H73" s="285">
        <v>40026</v>
      </c>
      <c r="I73" s="285"/>
      <c r="J73" s="266">
        <f t="shared" si="2"/>
        <v>100</v>
      </c>
      <c r="K73" s="26"/>
      <c r="L73" s="15"/>
    </row>
    <row r="74" spans="1:12" ht="15">
      <c r="A74" s="103"/>
      <c r="B74" s="12" t="s">
        <v>18</v>
      </c>
      <c r="C74" s="178"/>
      <c r="D74" s="323" t="s">
        <v>174</v>
      </c>
      <c r="E74" s="303"/>
      <c r="F74" s="284"/>
      <c r="G74" s="284"/>
      <c r="H74" s="285">
        <v>13612.39</v>
      </c>
      <c r="I74" s="285"/>
      <c r="J74" s="322"/>
      <c r="K74" s="26"/>
      <c r="L74" s="15"/>
    </row>
    <row r="75" spans="1:12" ht="15">
      <c r="A75" s="103"/>
      <c r="C75" s="178"/>
      <c r="D75" s="323" t="s">
        <v>279</v>
      </c>
      <c r="E75" s="303"/>
      <c r="F75" s="284"/>
      <c r="G75" s="284">
        <v>10000</v>
      </c>
      <c r="H75" s="285">
        <v>10000</v>
      </c>
      <c r="I75" s="285">
        <v>10000</v>
      </c>
      <c r="J75" s="263">
        <f t="shared" si="2"/>
        <v>100</v>
      </c>
      <c r="K75" s="26"/>
      <c r="L75" s="15"/>
    </row>
    <row r="76" spans="1:12" ht="15">
      <c r="A76" s="103"/>
      <c r="C76" s="178" t="s">
        <v>18</v>
      </c>
      <c r="D76" s="323" t="s">
        <v>325</v>
      </c>
      <c r="E76" s="303"/>
      <c r="F76" s="284">
        <v>150000</v>
      </c>
      <c r="G76" s="284">
        <f>150000-82950+6000-10</f>
        <v>73040</v>
      </c>
      <c r="H76" s="285">
        <v>21906</v>
      </c>
      <c r="I76" s="285">
        <v>1440</v>
      </c>
      <c r="J76" s="263">
        <f t="shared" si="2"/>
        <v>30</v>
      </c>
      <c r="K76" s="26"/>
      <c r="L76" s="15"/>
    </row>
    <row r="77" spans="1:12" ht="15">
      <c r="A77" s="103"/>
      <c r="C77" s="178"/>
      <c r="D77" s="323" t="s">
        <v>326</v>
      </c>
      <c r="E77" s="303"/>
      <c r="F77" s="284"/>
      <c r="G77" s="284">
        <v>6000</v>
      </c>
      <c r="H77" s="285"/>
      <c r="I77" s="285"/>
      <c r="J77" s="322">
        <f t="shared" si="2"/>
        <v>0</v>
      </c>
      <c r="K77" s="26"/>
      <c r="L77" s="15"/>
    </row>
    <row r="78" spans="1:12" ht="15">
      <c r="A78" s="103"/>
      <c r="C78" s="178"/>
      <c r="D78" s="323" t="s">
        <v>327</v>
      </c>
      <c r="E78" s="303"/>
      <c r="F78" s="284"/>
      <c r="G78" s="284">
        <v>5040</v>
      </c>
      <c r="H78" s="285">
        <v>5040</v>
      </c>
      <c r="I78" s="285"/>
      <c r="J78" s="266">
        <f t="shared" si="2"/>
        <v>100</v>
      </c>
      <c r="K78" s="26"/>
      <c r="L78" s="15"/>
    </row>
    <row r="79" spans="1:12" ht="15">
      <c r="A79" s="103"/>
      <c r="C79" s="178"/>
      <c r="D79" s="323" t="s">
        <v>328</v>
      </c>
      <c r="E79" s="303"/>
      <c r="F79" s="284"/>
      <c r="G79" s="284">
        <v>11832</v>
      </c>
      <c r="H79" s="285">
        <v>11832</v>
      </c>
      <c r="I79" s="285"/>
      <c r="J79" s="266">
        <f t="shared" si="2"/>
        <v>100</v>
      </c>
      <c r="K79" s="26"/>
      <c r="L79" s="15"/>
    </row>
    <row r="80" spans="1:12" ht="15">
      <c r="A80" s="103"/>
      <c r="C80" s="178"/>
      <c r="D80" s="323" t="s">
        <v>346</v>
      </c>
      <c r="E80" s="303"/>
      <c r="F80" s="284"/>
      <c r="G80" s="284">
        <v>3600</v>
      </c>
      <c r="H80" s="285">
        <v>3594</v>
      </c>
      <c r="I80" s="285"/>
      <c r="J80" s="266">
        <f t="shared" si="2"/>
        <v>99.8</v>
      </c>
      <c r="K80" s="26"/>
      <c r="L80" s="15"/>
    </row>
    <row r="81" spans="1:11" ht="15">
      <c r="A81" s="103"/>
      <c r="C81" s="178" t="s">
        <v>18</v>
      </c>
      <c r="D81" s="332" t="s">
        <v>22</v>
      </c>
      <c r="E81" s="309" t="s">
        <v>1</v>
      </c>
      <c r="F81" s="325">
        <v>200000</v>
      </c>
      <c r="G81" s="325">
        <v>200000</v>
      </c>
      <c r="H81" s="326">
        <v>205214</v>
      </c>
      <c r="I81" s="326"/>
      <c r="J81" s="263">
        <f t="shared" si="2"/>
        <v>102.6</v>
      </c>
      <c r="K81" s="26"/>
    </row>
    <row r="82" spans="1:11" ht="15">
      <c r="A82" s="103"/>
      <c r="C82" s="178" t="s">
        <v>18</v>
      </c>
      <c r="D82" s="332" t="s">
        <v>23</v>
      </c>
      <c r="E82" s="312" t="s">
        <v>1</v>
      </c>
      <c r="F82" s="325">
        <v>100000</v>
      </c>
      <c r="G82" s="325">
        <f>100000+69000+35000</f>
        <v>204000</v>
      </c>
      <c r="H82" s="326">
        <v>900</v>
      </c>
      <c r="I82" s="326"/>
      <c r="J82" s="263">
        <f t="shared" si="2"/>
        <v>0.4</v>
      </c>
      <c r="K82" s="26"/>
    </row>
    <row r="83" spans="1:11" ht="26.25">
      <c r="A83" s="103"/>
      <c r="C83" s="178" t="s">
        <v>18</v>
      </c>
      <c r="D83" s="333" t="s">
        <v>305</v>
      </c>
      <c r="E83" s="312" t="s">
        <v>1</v>
      </c>
      <c r="F83" s="334"/>
      <c r="G83" s="334">
        <v>11500</v>
      </c>
      <c r="H83" s="335"/>
      <c r="I83" s="335"/>
      <c r="J83" s="322"/>
      <c r="K83" s="26"/>
    </row>
    <row r="84" spans="1:11" ht="15">
      <c r="A84" s="103"/>
      <c r="C84" s="178" t="s">
        <v>18</v>
      </c>
      <c r="D84" s="336" t="s">
        <v>175</v>
      </c>
      <c r="E84" s="327"/>
      <c r="F84" s="334">
        <f>SUM(F85,F86)</f>
        <v>95000</v>
      </c>
      <c r="G84" s="334">
        <f>SUM(G85,G86)</f>
        <v>81000</v>
      </c>
      <c r="H84" s="334">
        <f>SUM(H85,H86)</f>
        <v>30996</v>
      </c>
      <c r="I84" s="334"/>
      <c r="J84" s="263">
        <f t="shared" si="2"/>
        <v>38.3</v>
      </c>
      <c r="K84" s="26"/>
    </row>
    <row r="85" spans="1:12" s="33" customFormat="1" ht="31.5" customHeight="1">
      <c r="A85" s="107"/>
      <c r="C85" s="178" t="s">
        <v>18</v>
      </c>
      <c r="D85" s="337" t="s">
        <v>176</v>
      </c>
      <c r="E85" s="327" t="s">
        <v>1</v>
      </c>
      <c r="F85" s="338">
        <v>45000</v>
      </c>
      <c r="G85" s="339">
        <f>45000-14000</f>
        <v>31000</v>
      </c>
      <c r="H85" s="340">
        <v>30996</v>
      </c>
      <c r="I85" s="340"/>
      <c r="J85" s="266">
        <f t="shared" si="2"/>
        <v>100</v>
      </c>
      <c r="K85" s="35"/>
      <c r="L85" s="36"/>
    </row>
    <row r="86" spans="1:12" s="33" customFormat="1" ht="31.5" customHeight="1">
      <c r="A86" s="107"/>
      <c r="C86" s="178" t="s">
        <v>18</v>
      </c>
      <c r="D86" s="337" t="s">
        <v>329</v>
      </c>
      <c r="E86" s="327" t="s">
        <v>1</v>
      </c>
      <c r="F86" s="338">
        <v>50000</v>
      </c>
      <c r="G86" s="339">
        <v>50000</v>
      </c>
      <c r="H86" s="339"/>
      <c r="I86" s="339"/>
      <c r="J86" s="322">
        <f t="shared" si="2"/>
        <v>0</v>
      </c>
      <c r="K86" s="35"/>
      <c r="L86" s="36"/>
    </row>
    <row r="87" spans="1:12" s="33" customFormat="1" ht="31.5" customHeight="1">
      <c r="A87" s="107"/>
      <c r="C87" s="178"/>
      <c r="D87" s="336" t="s">
        <v>177</v>
      </c>
      <c r="E87" s="327"/>
      <c r="F87" s="338"/>
      <c r="G87" s="338">
        <f>SUM(G88:G90)</f>
        <v>20088</v>
      </c>
      <c r="H87" s="338">
        <f>SUM(H88:H90)</f>
        <v>19692</v>
      </c>
      <c r="I87" s="338">
        <f>SUM(I88:I90)</f>
        <v>0</v>
      </c>
      <c r="J87" s="266">
        <f t="shared" si="2"/>
        <v>98</v>
      </c>
      <c r="K87" s="35"/>
      <c r="L87" s="36"/>
    </row>
    <row r="88" spans="1:12" s="33" customFormat="1" ht="28.5" customHeight="1">
      <c r="A88" s="107"/>
      <c r="C88" s="178" t="s">
        <v>15</v>
      </c>
      <c r="D88" s="337" t="s">
        <v>178</v>
      </c>
      <c r="E88" s="327" t="s">
        <v>1</v>
      </c>
      <c r="F88" s="338"/>
      <c r="G88" s="341">
        <v>5088</v>
      </c>
      <c r="H88" s="340">
        <v>5088</v>
      </c>
      <c r="I88" s="340"/>
      <c r="J88" s="266">
        <f t="shared" si="2"/>
        <v>100</v>
      </c>
      <c r="K88" s="35"/>
      <c r="L88" s="36"/>
    </row>
    <row r="89" spans="1:12" s="33" customFormat="1" ht="28.5" customHeight="1">
      <c r="A89" s="107"/>
      <c r="C89" s="178" t="s">
        <v>18</v>
      </c>
      <c r="D89" s="337" t="s">
        <v>306</v>
      </c>
      <c r="E89" s="327" t="s">
        <v>1</v>
      </c>
      <c r="F89" s="338"/>
      <c r="G89" s="341">
        <v>15000</v>
      </c>
      <c r="H89" s="340">
        <v>8604</v>
      </c>
      <c r="I89" s="340"/>
      <c r="J89" s="266">
        <f t="shared" si="2"/>
        <v>57.4</v>
      </c>
      <c r="K89" s="35"/>
      <c r="L89" s="36"/>
    </row>
    <row r="90" spans="1:12" s="33" customFormat="1" ht="28.5" customHeight="1">
      <c r="A90" s="107"/>
      <c r="C90" s="178" t="s">
        <v>18</v>
      </c>
      <c r="D90" s="337" t="s">
        <v>307</v>
      </c>
      <c r="E90" s="327" t="s">
        <v>1</v>
      </c>
      <c r="F90" s="338"/>
      <c r="G90" s="341"/>
      <c r="H90" s="340">
        <v>6000</v>
      </c>
      <c r="I90" s="340"/>
      <c r="J90" s="289"/>
      <c r="K90" s="35"/>
      <c r="L90" s="36"/>
    </row>
    <row r="91" spans="1:12" s="33" customFormat="1" ht="19.5" customHeight="1">
      <c r="A91" s="107"/>
      <c r="C91" s="280"/>
      <c r="D91" s="342" t="s">
        <v>356</v>
      </c>
      <c r="E91" s="343"/>
      <c r="F91" s="338">
        <f>SUM(F92:F93)</f>
        <v>110000</v>
      </c>
      <c r="G91" s="338">
        <f>SUM(G92:G93)</f>
        <v>110000</v>
      </c>
      <c r="H91" s="338">
        <f>SUM(H92:H93)</f>
        <v>110000</v>
      </c>
      <c r="I91" s="338">
        <f>SUM(I92:I93)</f>
        <v>0</v>
      </c>
      <c r="J91" s="289">
        <f t="shared" si="2"/>
        <v>100</v>
      </c>
      <c r="K91" s="35"/>
      <c r="L91" s="36"/>
    </row>
    <row r="92" spans="1:13" s="38" customFormat="1" ht="30" customHeight="1">
      <c r="A92" s="107"/>
      <c r="B92" s="33"/>
      <c r="C92" s="280" t="s">
        <v>179</v>
      </c>
      <c r="D92" s="344" t="s">
        <v>24</v>
      </c>
      <c r="E92" s="309" t="s">
        <v>3</v>
      </c>
      <c r="F92" s="345">
        <v>85000</v>
      </c>
      <c r="G92" s="345">
        <v>85000</v>
      </c>
      <c r="H92" s="346">
        <v>85000</v>
      </c>
      <c r="I92" s="346"/>
      <c r="J92" s="260">
        <f t="shared" si="2"/>
        <v>100</v>
      </c>
      <c r="K92" s="35"/>
      <c r="L92" s="37"/>
      <c r="M92" s="108"/>
    </row>
    <row r="93" spans="1:12" s="38" customFormat="1" ht="26.25">
      <c r="A93" s="107"/>
      <c r="B93" s="33"/>
      <c r="C93" s="280" t="s">
        <v>179</v>
      </c>
      <c r="D93" s="311" t="s">
        <v>180</v>
      </c>
      <c r="E93" s="312" t="s">
        <v>3</v>
      </c>
      <c r="F93" s="347">
        <v>25000</v>
      </c>
      <c r="G93" s="347">
        <v>25000</v>
      </c>
      <c r="H93" s="348">
        <v>25000</v>
      </c>
      <c r="I93" s="348"/>
      <c r="J93" s="263">
        <f t="shared" si="2"/>
        <v>100</v>
      </c>
      <c r="K93" s="35"/>
      <c r="L93" s="37"/>
    </row>
    <row r="94" spans="1:12" s="12" customFormat="1" ht="17.25" customHeight="1">
      <c r="A94" s="103"/>
      <c r="C94" s="178"/>
      <c r="D94" s="336" t="s">
        <v>25</v>
      </c>
      <c r="E94" s="327"/>
      <c r="F94" s="288">
        <f>SUM(F95:F99)</f>
        <v>305000</v>
      </c>
      <c r="G94" s="288">
        <f>SUM(G95:G101)</f>
        <v>1313444</v>
      </c>
      <c r="H94" s="288">
        <f>SUM(H95:H101)</f>
        <v>176390.51</v>
      </c>
      <c r="I94" s="288">
        <f>SUM(I95:I101)</f>
        <v>708</v>
      </c>
      <c r="J94" s="289">
        <f t="shared" si="2"/>
        <v>13.4</v>
      </c>
      <c r="K94" s="26"/>
      <c r="L94" s="34"/>
    </row>
    <row r="95" spans="1:11" ht="26.25">
      <c r="A95" s="103"/>
      <c r="C95" s="178" t="s">
        <v>15</v>
      </c>
      <c r="D95" s="344" t="s">
        <v>181</v>
      </c>
      <c r="E95" s="309" t="s">
        <v>1</v>
      </c>
      <c r="F95" s="259">
        <v>120000</v>
      </c>
      <c r="G95" s="259">
        <v>120000</v>
      </c>
      <c r="H95" s="283">
        <v>88407.08</v>
      </c>
      <c r="I95" s="283"/>
      <c r="J95" s="260">
        <f t="shared" si="2"/>
        <v>73.7</v>
      </c>
      <c r="K95" s="26"/>
    </row>
    <row r="96" spans="1:11" ht="15">
      <c r="A96" s="103"/>
      <c r="C96" s="178" t="s">
        <v>15</v>
      </c>
      <c r="D96" s="311" t="s">
        <v>26</v>
      </c>
      <c r="E96" s="312" t="s">
        <v>1</v>
      </c>
      <c r="F96" s="284">
        <v>50000</v>
      </c>
      <c r="G96" s="284">
        <v>50000</v>
      </c>
      <c r="H96" s="285">
        <v>19611.58</v>
      </c>
      <c r="I96" s="285">
        <v>708</v>
      </c>
      <c r="J96" s="263">
        <f t="shared" si="2"/>
        <v>39.2</v>
      </c>
      <c r="K96" s="26"/>
    </row>
    <row r="97" spans="1:11" ht="15">
      <c r="A97" s="103"/>
      <c r="C97" s="178" t="s">
        <v>15</v>
      </c>
      <c r="D97" s="311" t="s">
        <v>27</v>
      </c>
      <c r="E97" s="312" t="s">
        <v>1</v>
      </c>
      <c r="F97" s="284">
        <v>50000</v>
      </c>
      <c r="G97" s="284">
        <v>50000</v>
      </c>
      <c r="H97" s="285">
        <v>5842.65</v>
      </c>
      <c r="I97" s="285"/>
      <c r="J97" s="263">
        <f t="shared" si="2"/>
        <v>11.7</v>
      </c>
      <c r="K97" s="26"/>
    </row>
    <row r="98" spans="1:11" ht="15">
      <c r="A98" s="103"/>
      <c r="C98" s="178" t="s">
        <v>15</v>
      </c>
      <c r="D98" s="311" t="s">
        <v>182</v>
      </c>
      <c r="E98" s="312" t="s">
        <v>1</v>
      </c>
      <c r="F98" s="284">
        <v>70000</v>
      </c>
      <c r="G98" s="284">
        <v>70000</v>
      </c>
      <c r="H98" s="285"/>
      <c r="I98" s="285"/>
      <c r="J98" s="322">
        <f t="shared" si="2"/>
        <v>0</v>
      </c>
      <c r="K98" s="26"/>
    </row>
    <row r="99" spans="1:11" ht="15">
      <c r="A99" s="103"/>
      <c r="C99" s="178" t="s">
        <v>15</v>
      </c>
      <c r="D99" s="337" t="s">
        <v>183</v>
      </c>
      <c r="E99" s="327" t="s">
        <v>1</v>
      </c>
      <c r="F99" s="349">
        <v>15000</v>
      </c>
      <c r="G99" s="349">
        <v>15000</v>
      </c>
      <c r="H99" s="350">
        <v>15613.2</v>
      </c>
      <c r="I99" s="350"/>
      <c r="J99" s="289">
        <f t="shared" si="2"/>
        <v>104.1</v>
      </c>
      <c r="K99" s="40"/>
    </row>
    <row r="100" spans="1:11" ht="26.25">
      <c r="A100" s="103"/>
      <c r="C100" s="178" t="s">
        <v>16</v>
      </c>
      <c r="D100" s="314" t="s">
        <v>330</v>
      </c>
      <c r="E100" s="315" t="s">
        <v>1</v>
      </c>
      <c r="F100" s="316"/>
      <c r="G100" s="316">
        <v>994477</v>
      </c>
      <c r="H100" s="317">
        <v>28704</v>
      </c>
      <c r="I100" s="317"/>
      <c r="J100" s="351">
        <f t="shared" si="2"/>
        <v>2.9</v>
      </c>
      <c r="K100" s="26"/>
    </row>
    <row r="101" spans="1:11" ht="15">
      <c r="A101" s="112"/>
      <c r="B101" s="39"/>
      <c r="C101" s="178" t="s">
        <v>40</v>
      </c>
      <c r="D101" s="352" t="s">
        <v>283</v>
      </c>
      <c r="E101" s="353" t="s">
        <v>1</v>
      </c>
      <c r="F101" s="354"/>
      <c r="G101" s="354">
        <v>13967</v>
      </c>
      <c r="H101" s="355">
        <v>18212</v>
      </c>
      <c r="I101" s="355"/>
      <c r="J101" s="271">
        <f t="shared" si="2"/>
        <v>130.4</v>
      </c>
      <c r="K101" s="26"/>
    </row>
    <row r="102" spans="1:12" s="21" customFormat="1" ht="24" customHeight="1">
      <c r="A102" s="105"/>
      <c r="B102" s="22"/>
      <c r="C102" s="251"/>
      <c r="D102" s="274" t="s">
        <v>184</v>
      </c>
      <c r="E102" s="275"/>
      <c r="F102" s="276">
        <f>SUM(F103,F104,F105,F118)</f>
        <v>507541</v>
      </c>
      <c r="G102" s="276">
        <f>SUM(G103,G104,G105,G117)</f>
        <v>454866</v>
      </c>
      <c r="H102" s="276">
        <f>SUM(H103,H104,H105,H117)</f>
        <v>253518.56000000003</v>
      </c>
      <c r="I102" s="276">
        <f>SUM(I103,I104,I105,I117)</f>
        <v>18975.4</v>
      </c>
      <c r="J102" s="276">
        <f t="shared" si="2"/>
        <v>55.7</v>
      </c>
      <c r="K102" s="32"/>
      <c r="L102" s="41"/>
    </row>
    <row r="103" spans="1:12" s="21" customFormat="1" ht="26.25">
      <c r="A103" s="102"/>
      <c r="C103" s="272" t="s">
        <v>18</v>
      </c>
      <c r="D103" s="356" t="s">
        <v>357</v>
      </c>
      <c r="E103" s="357" t="s">
        <v>3</v>
      </c>
      <c r="F103" s="358">
        <v>32000</v>
      </c>
      <c r="G103" s="358">
        <v>32000</v>
      </c>
      <c r="H103" s="358">
        <v>23644.8</v>
      </c>
      <c r="I103" s="358">
        <v>6689.2</v>
      </c>
      <c r="J103" s="260">
        <f t="shared" si="2"/>
        <v>73.9</v>
      </c>
      <c r="K103" s="23"/>
      <c r="L103" s="41"/>
    </row>
    <row r="104" spans="1:12" s="42" customFormat="1" ht="30" customHeight="1">
      <c r="A104" s="109"/>
      <c r="C104" s="359" t="s">
        <v>18</v>
      </c>
      <c r="D104" s="360" t="s">
        <v>358</v>
      </c>
      <c r="E104" s="357" t="s">
        <v>3</v>
      </c>
      <c r="F104" s="361">
        <v>12000</v>
      </c>
      <c r="G104" s="361">
        <v>12000</v>
      </c>
      <c r="H104" s="362">
        <v>12000</v>
      </c>
      <c r="I104" s="362"/>
      <c r="J104" s="263">
        <f t="shared" si="2"/>
        <v>100</v>
      </c>
      <c r="K104" s="43"/>
      <c r="L104" s="44"/>
    </row>
    <row r="105" spans="1:12" s="12" customFormat="1" ht="18" customHeight="1">
      <c r="A105" s="103"/>
      <c r="C105" s="178"/>
      <c r="D105" s="363" t="s">
        <v>359</v>
      </c>
      <c r="E105" s="364"/>
      <c r="F105" s="288">
        <f>SUM(F106:F116)</f>
        <v>425859</v>
      </c>
      <c r="G105" s="288">
        <f>SUM(G106:G116)</f>
        <v>373184</v>
      </c>
      <c r="H105" s="288">
        <f>SUM(H106:H116)</f>
        <v>182644.16</v>
      </c>
      <c r="I105" s="288">
        <f>SUM(I106:I116)</f>
        <v>12286.2</v>
      </c>
      <c r="J105" s="289">
        <f t="shared" si="2"/>
        <v>48.9</v>
      </c>
      <c r="K105" s="26"/>
      <c r="L105" s="34"/>
    </row>
    <row r="106" spans="1:11" ht="16.5" customHeight="1">
      <c r="A106" s="103"/>
      <c r="C106" s="178" t="s">
        <v>18</v>
      </c>
      <c r="D106" s="257" t="s">
        <v>185</v>
      </c>
      <c r="E106" s="282" t="s">
        <v>3</v>
      </c>
      <c r="F106" s="259">
        <v>6500</v>
      </c>
      <c r="G106" s="259">
        <v>6500</v>
      </c>
      <c r="H106" s="283">
        <v>6500</v>
      </c>
      <c r="I106" s="283"/>
      <c r="J106" s="260">
        <f t="shared" si="2"/>
        <v>100</v>
      </c>
      <c r="K106" s="26"/>
    </row>
    <row r="107" spans="1:11" ht="15">
      <c r="A107" s="103"/>
      <c r="C107" s="178" t="s">
        <v>18</v>
      </c>
      <c r="D107" s="365" t="s">
        <v>186</v>
      </c>
      <c r="E107" s="265" t="s">
        <v>1</v>
      </c>
      <c r="F107" s="284">
        <v>16713</v>
      </c>
      <c r="G107" s="284">
        <v>16713</v>
      </c>
      <c r="H107" s="285">
        <v>4006.15</v>
      </c>
      <c r="I107" s="285"/>
      <c r="J107" s="263">
        <f t="shared" si="2"/>
        <v>24</v>
      </c>
      <c r="K107" s="26"/>
    </row>
    <row r="108" spans="1:11" ht="15">
      <c r="A108" s="103"/>
      <c r="C108" s="178" t="s">
        <v>18</v>
      </c>
      <c r="D108" s="366" t="s">
        <v>186</v>
      </c>
      <c r="E108" s="367" t="s">
        <v>1</v>
      </c>
      <c r="F108" s="316">
        <v>124646</v>
      </c>
      <c r="G108" s="316">
        <v>124646</v>
      </c>
      <c r="H108" s="317">
        <v>29382.65</v>
      </c>
      <c r="I108" s="317"/>
      <c r="J108" s="320">
        <f t="shared" si="2"/>
        <v>23.6</v>
      </c>
      <c r="K108" s="26"/>
    </row>
    <row r="109" spans="1:11" ht="15">
      <c r="A109" s="103"/>
      <c r="C109" s="178" t="s">
        <v>18</v>
      </c>
      <c r="D109" s="365" t="s">
        <v>187</v>
      </c>
      <c r="E109" s="265" t="s">
        <v>1</v>
      </c>
      <c r="F109" s="284">
        <v>45000</v>
      </c>
      <c r="G109" s="284">
        <f>45000-14000</f>
        <v>31000</v>
      </c>
      <c r="H109" s="285">
        <v>30057.96</v>
      </c>
      <c r="I109" s="285"/>
      <c r="J109" s="263">
        <f t="shared" si="2"/>
        <v>97</v>
      </c>
      <c r="K109" s="26"/>
    </row>
    <row r="110" spans="1:11" ht="15">
      <c r="A110" s="103"/>
      <c r="C110" s="178" t="s">
        <v>18</v>
      </c>
      <c r="D110" s="365" t="s">
        <v>188</v>
      </c>
      <c r="E110" s="265" t="s">
        <v>1</v>
      </c>
      <c r="F110" s="284">
        <v>25000</v>
      </c>
      <c r="G110" s="284">
        <v>25000</v>
      </c>
      <c r="H110" s="285"/>
      <c r="I110" s="285"/>
      <c r="J110" s="263">
        <f t="shared" si="2"/>
        <v>0</v>
      </c>
      <c r="K110" s="26"/>
    </row>
    <row r="111" spans="1:11" ht="15">
      <c r="A111" s="103"/>
      <c r="C111" s="178" t="s">
        <v>18</v>
      </c>
      <c r="D111" s="365" t="s">
        <v>189</v>
      </c>
      <c r="E111" s="265" t="s">
        <v>1</v>
      </c>
      <c r="F111" s="284">
        <v>15000</v>
      </c>
      <c r="G111" s="284">
        <v>15000</v>
      </c>
      <c r="H111" s="285">
        <v>708</v>
      </c>
      <c r="I111" s="285"/>
      <c r="J111" s="263">
        <f t="shared" si="2"/>
        <v>4.7</v>
      </c>
      <c r="K111" s="26"/>
    </row>
    <row r="112" spans="1:11" ht="15">
      <c r="A112" s="103"/>
      <c r="C112" s="178" t="s">
        <v>18</v>
      </c>
      <c r="D112" s="365" t="s">
        <v>190</v>
      </c>
      <c r="E112" s="265" t="s">
        <v>1</v>
      </c>
      <c r="F112" s="284">
        <v>35000</v>
      </c>
      <c r="G112" s="284">
        <v>35000</v>
      </c>
      <c r="H112" s="285"/>
      <c r="I112" s="285"/>
      <c r="J112" s="263">
        <f t="shared" si="2"/>
        <v>0</v>
      </c>
      <c r="K112" s="26"/>
    </row>
    <row r="113" spans="1:11" ht="15">
      <c r="A113" s="103"/>
      <c r="C113" s="178" t="s">
        <v>18</v>
      </c>
      <c r="D113" s="365" t="s">
        <v>347</v>
      </c>
      <c r="E113" s="265" t="s">
        <v>1</v>
      </c>
      <c r="F113" s="284">
        <v>70000</v>
      </c>
      <c r="G113" s="284">
        <f>70000-46000</f>
        <v>24000</v>
      </c>
      <c r="H113" s="285">
        <v>22616.4</v>
      </c>
      <c r="I113" s="285">
        <v>12286.2</v>
      </c>
      <c r="J113" s="263">
        <f t="shared" si="2"/>
        <v>94.2</v>
      </c>
      <c r="K113" s="26"/>
    </row>
    <row r="114" spans="1:11" ht="15">
      <c r="A114" s="103"/>
      <c r="C114" s="178" t="s">
        <v>18</v>
      </c>
      <c r="D114" s="365" t="s">
        <v>348</v>
      </c>
      <c r="E114" s="265" t="s">
        <v>3</v>
      </c>
      <c r="F114" s="284"/>
      <c r="G114" s="284">
        <v>7325</v>
      </c>
      <c r="H114" s="285">
        <v>7325</v>
      </c>
      <c r="I114" s="285"/>
      <c r="J114" s="266">
        <f t="shared" si="2"/>
        <v>100</v>
      </c>
      <c r="K114" s="26"/>
    </row>
    <row r="115" spans="1:11" ht="15">
      <c r="A115" s="103"/>
      <c r="C115" s="178" t="s">
        <v>18</v>
      </c>
      <c r="D115" s="365" t="s">
        <v>191</v>
      </c>
      <c r="E115" s="265" t="s">
        <v>1</v>
      </c>
      <c r="F115" s="284">
        <v>15000</v>
      </c>
      <c r="G115" s="284">
        <v>15000</v>
      </c>
      <c r="H115" s="285">
        <v>7128</v>
      </c>
      <c r="I115" s="285"/>
      <c r="J115" s="263">
        <f t="shared" si="2"/>
        <v>47.5</v>
      </c>
      <c r="K115" s="26"/>
    </row>
    <row r="116" spans="1:12" s="25" customFormat="1" ht="29.25" customHeight="1">
      <c r="A116" s="102"/>
      <c r="B116" s="21"/>
      <c r="C116" s="178" t="s">
        <v>18</v>
      </c>
      <c r="D116" s="368" t="s">
        <v>192</v>
      </c>
      <c r="E116" s="369" t="s">
        <v>1</v>
      </c>
      <c r="F116" s="370">
        <v>73000</v>
      </c>
      <c r="G116" s="370">
        <v>73000</v>
      </c>
      <c r="H116" s="371">
        <v>74920</v>
      </c>
      <c r="I116" s="371"/>
      <c r="J116" s="263">
        <f t="shared" si="2"/>
        <v>102.6</v>
      </c>
      <c r="K116" s="23"/>
      <c r="L116" s="24"/>
    </row>
    <row r="117" spans="1:12" s="25" customFormat="1" ht="29.25" customHeight="1">
      <c r="A117" s="102"/>
      <c r="B117" s="21"/>
      <c r="C117" s="178"/>
      <c r="D117" s="360" t="s">
        <v>331</v>
      </c>
      <c r="E117" s="372"/>
      <c r="F117" s="373"/>
      <c r="G117" s="374">
        <f>SUM(G118,G119)</f>
        <v>37682</v>
      </c>
      <c r="H117" s="374">
        <f>SUM(H118,H119)</f>
        <v>35229.600000000006</v>
      </c>
      <c r="I117" s="374"/>
      <c r="J117" s="263">
        <f t="shared" si="2"/>
        <v>93.5</v>
      </c>
      <c r="K117" s="23"/>
      <c r="L117" s="24"/>
    </row>
    <row r="118" spans="1:12" s="21" customFormat="1" ht="30.75" customHeight="1">
      <c r="A118" s="104"/>
      <c r="B118" s="27"/>
      <c r="C118" s="272" t="s">
        <v>18</v>
      </c>
      <c r="D118" s="375" t="s">
        <v>332</v>
      </c>
      <c r="E118" s="376" t="s">
        <v>1</v>
      </c>
      <c r="F118" s="377">
        <v>37682</v>
      </c>
      <c r="G118" s="378">
        <v>37682</v>
      </c>
      <c r="H118" s="379">
        <v>35060.8</v>
      </c>
      <c r="I118" s="379"/>
      <c r="J118" s="380">
        <f t="shared" si="2"/>
        <v>93</v>
      </c>
      <c r="K118" s="28"/>
      <c r="L118" s="41"/>
    </row>
    <row r="119" spans="1:12" s="21" customFormat="1" ht="30.75" customHeight="1">
      <c r="A119" s="102"/>
      <c r="C119" s="267" t="s">
        <v>18</v>
      </c>
      <c r="D119" s="381" t="s">
        <v>333</v>
      </c>
      <c r="E119" s="382" t="s">
        <v>1</v>
      </c>
      <c r="F119" s="383"/>
      <c r="G119" s="384"/>
      <c r="H119" s="385">
        <v>168.8</v>
      </c>
      <c r="I119" s="385"/>
      <c r="J119" s="386"/>
      <c r="K119" s="23"/>
      <c r="L119" s="41"/>
    </row>
    <row r="120" spans="1:12" s="21" customFormat="1" ht="24" customHeight="1">
      <c r="A120" s="105"/>
      <c r="B120" s="22"/>
      <c r="C120" s="251"/>
      <c r="D120" s="274" t="s">
        <v>193</v>
      </c>
      <c r="E120" s="275"/>
      <c r="F120" s="276">
        <f>SUM(F121,F130,F139)</f>
        <v>674000</v>
      </c>
      <c r="G120" s="276">
        <f>SUM(G121,G130,G139)</f>
        <v>844698</v>
      </c>
      <c r="H120" s="276">
        <f>SUM(H121,H130,H139)</f>
        <v>296069.71</v>
      </c>
      <c r="I120" s="276">
        <f>SUM(I121,I130,I139)</f>
        <v>29398.35</v>
      </c>
      <c r="J120" s="298">
        <f t="shared" si="2"/>
        <v>35.1</v>
      </c>
      <c r="K120" s="32"/>
      <c r="L120" s="41"/>
    </row>
    <row r="121" spans="1:12" s="12" customFormat="1" ht="17.25" customHeight="1">
      <c r="A121" s="103"/>
      <c r="C121" s="178"/>
      <c r="D121" s="387" t="s">
        <v>29</v>
      </c>
      <c r="E121" s="303"/>
      <c r="F121" s="74">
        <f>SUM(F122:F123)</f>
        <v>340000</v>
      </c>
      <c r="G121" s="74">
        <f>SUM(G122:G123)</f>
        <v>445000</v>
      </c>
      <c r="H121" s="74">
        <f>SUM(H122:H123)</f>
        <v>117610.54999999999</v>
      </c>
      <c r="I121" s="74">
        <f>SUM(I122:I123)</f>
        <v>3339.27</v>
      </c>
      <c r="J121" s="279">
        <f t="shared" si="2"/>
        <v>26.4</v>
      </c>
      <c r="K121" s="26"/>
      <c r="L121" s="34"/>
    </row>
    <row r="122" spans="1:16" ht="16.5" customHeight="1">
      <c r="A122" s="103"/>
      <c r="C122" s="178" t="s">
        <v>15</v>
      </c>
      <c r="D122" s="344" t="s">
        <v>30</v>
      </c>
      <c r="E122" s="309" t="s">
        <v>1</v>
      </c>
      <c r="F122" s="259">
        <v>60000</v>
      </c>
      <c r="G122" s="259">
        <f>60000+75000</f>
        <v>135000</v>
      </c>
      <c r="H122" s="283">
        <v>32276.9</v>
      </c>
      <c r="I122" s="283"/>
      <c r="J122" s="260">
        <f t="shared" si="2"/>
        <v>23.9</v>
      </c>
      <c r="K122" s="26"/>
      <c r="M122" s="88"/>
      <c r="N122" s="88"/>
      <c r="O122" s="88"/>
      <c r="P122" s="88"/>
    </row>
    <row r="123" spans="1:11" ht="15">
      <c r="A123" s="103"/>
      <c r="C123" s="178" t="s">
        <v>15</v>
      </c>
      <c r="D123" s="337" t="s">
        <v>194</v>
      </c>
      <c r="E123" s="327" t="s">
        <v>1</v>
      </c>
      <c r="F123" s="349">
        <v>280000</v>
      </c>
      <c r="G123" s="349">
        <f>280000+30000</f>
        <v>310000</v>
      </c>
      <c r="H123" s="350">
        <v>85333.65</v>
      </c>
      <c r="I123" s="350">
        <f>2394.27+945</f>
        <v>3339.27</v>
      </c>
      <c r="J123" s="289">
        <f t="shared" si="2"/>
        <v>27.5</v>
      </c>
      <c r="K123" s="26"/>
    </row>
    <row r="124" spans="1:16" s="50" customFormat="1" ht="12.75">
      <c r="A124" s="110"/>
      <c r="B124" s="45"/>
      <c r="C124" s="45"/>
      <c r="D124" s="46" t="s">
        <v>195</v>
      </c>
      <c r="E124" s="53"/>
      <c r="F124" s="47"/>
      <c r="G124" s="47"/>
      <c r="H124" s="119"/>
      <c r="I124" s="119"/>
      <c r="J124" s="298"/>
      <c r="K124" s="48"/>
      <c r="L124" s="49"/>
      <c r="M124" s="111"/>
      <c r="N124" s="111"/>
      <c r="O124" s="111"/>
      <c r="P124" s="111"/>
    </row>
    <row r="125" spans="1:12" s="50" customFormat="1" ht="12.75">
      <c r="A125" s="110"/>
      <c r="B125" s="45"/>
      <c r="C125" s="45"/>
      <c r="D125" s="46" t="s">
        <v>196</v>
      </c>
      <c r="E125" s="53"/>
      <c r="F125" s="47"/>
      <c r="G125" s="47"/>
      <c r="H125" s="119"/>
      <c r="I125" s="119"/>
      <c r="J125" s="298"/>
      <c r="K125" s="48"/>
      <c r="L125" s="49"/>
    </row>
    <row r="126" spans="1:12" s="50" customFormat="1" ht="12.75">
      <c r="A126" s="110"/>
      <c r="B126" s="45"/>
      <c r="C126" s="45"/>
      <c r="D126" s="46" t="s">
        <v>197</v>
      </c>
      <c r="E126" s="53"/>
      <c r="F126" s="47"/>
      <c r="G126" s="47"/>
      <c r="H126" s="119"/>
      <c r="I126" s="119"/>
      <c r="J126" s="298"/>
      <c r="K126" s="48"/>
      <c r="L126" s="49"/>
    </row>
    <row r="127" spans="1:12" s="50" customFormat="1" ht="12.75">
      <c r="A127" s="110"/>
      <c r="B127" s="45"/>
      <c r="C127" s="45"/>
      <c r="D127" s="46" t="s">
        <v>198</v>
      </c>
      <c r="E127" s="53"/>
      <c r="F127" s="47"/>
      <c r="G127" s="47"/>
      <c r="H127" s="119"/>
      <c r="I127" s="119"/>
      <c r="J127" s="298"/>
      <c r="K127" s="48"/>
      <c r="L127" s="49"/>
    </row>
    <row r="128" spans="1:12" s="50" customFormat="1" ht="12.75">
      <c r="A128" s="110"/>
      <c r="B128" s="45"/>
      <c r="C128" s="45"/>
      <c r="D128" s="46" t="s">
        <v>199</v>
      </c>
      <c r="E128" s="53"/>
      <c r="F128" s="47"/>
      <c r="G128" s="47"/>
      <c r="H128" s="119"/>
      <c r="I128" s="119"/>
      <c r="J128" s="298"/>
      <c r="K128" s="48"/>
      <c r="L128" s="49"/>
    </row>
    <row r="129" spans="1:11" ht="13.5" customHeight="1">
      <c r="A129" s="103"/>
      <c r="C129" s="178"/>
      <c r="D129" s="46" t="s">
        <v>200</v>
      </c>
      <c r="E129" s="309"/>
      <c r="F129" s="259"/>
      <c r="G129" s="293"/>
      <c r="H129" s="283"/>
      <c r="I129" s="283"/>
      <c r="J129" s="388"/>
      <c r="K129" s="26"/>
    </row>
    <row r="130" spans="1:12" s="12" customFormat="1" ht="17.25" customHeight="1">
      <c r="A130" s="103"/>
      <c r="C130" s="178"/>
      <c r="D130" s="336" t="s">
        <v>31</v>
      </c>
      <c r="E130" s="343"/>
      <c r="F130" s="288">
        <f>SUM(F131:F138)</f>
        <v>288000</v>
      </c>
      <c r="G130" s="288">
        <f>SUM(G131:G138)</f>
        <v>310500</v>
      </c>
      <c r="H130" s="288">
        <f>SUM(H131:H138)</f>
        <v>105560.64</v>
      </c>
      <c r="I130" s="288">
        <f>SUM(I131:I138)</f>
        <v>6879.6</v>
      </c>
      <c r="J130" s="289">
        <f>ROUND(H130/G130*100,1)</f>
        <v>34</v>
      </c>
      <c r="K130" s="26"/>
      <c r="L130" s="34"/>
    </row>
    <row r="131" spans="1:11" ht="16.5" customHeight="1">
      <c r="A131" s="103"/>
      <c r="C131" s="178" t="s">
        <v>18</v>
      </c>
      <c r="D131" s="344" t="s">
        <v>201</v>
      </c>
      <c r="E131" s="309" t="s">
        <v>1</v>
      </c>
      <c r="F131" s="259">
        <v>96000</v>
      </c>
      <c r="G131" s="259">
        <v>96000</v>
      </c>
      <c r="H131" s="283">
        <v>95880</v>
      </c>
      <c r="I131" s="283"/>
      <c r="J131" s="260">
        <f>ROUND(H131/G131*100,1)</f>
        <v>99.9</v>
      </c>
      <c r="K131" s="26"/>
    </row>
    <row r="132" spans="1:11" ht="15">
      <c r="A132" s="103"/>
      <c r="C132" s="178" t="s">
        <v>18</v>
      </c>
      <c r="D132" s="311" t="s">
        <v>32</v>
      </c>
      <c r="E132" s="312" t="s">
        <v>1</v>
      </c>
      <c r="F132" s="284">
        <f>20000+35000</f>
        <v>55000</v>
      </c>
      <c r="G132" s="284">
        <f>20000+35000</f>
        <v>55000</v>
      </c>
      <c r="H132" s="285"/>
      <c r="I132" s="285"/>
      <c r="J132" s="389">
        <f>ROUND(H132/G132*100,1)</f>
        <v>0</v>
      </c>
      <c r="K132" s="26"/>
    </row>
    <row r="133" spans="1:11" ht="15">
      <c r="A133" s="103"/>
      <c r="C133" s="178" t="s">
        <v>18</v>
      </c>
      <c r="D133" s="311" t="s">
        <v>349</v>
      </c>
      <c r="E133" s="312" t="s">
        <v>1</v>
      </c>
      <c r="F133" s="284">
        <v>50000</v>
      </c>
      <c r="G133" s="284">
        <v>50000</v>
      </c>
      <c r="H133" s="285"/>
      <c r="I133" s="285"/>
      <c r="J133" s="389">
        <f>ROUND(H133/G133*100,1)</f>
        <v>0</v>
      </c>
      <c r="K133" s="26"/>
    </row>
    <row r="134" spans="1:11" ht="26.25">
      <c r="A134" s="103"/>
      <c r="C134" s="178" t="s">
        <v>18</v>
      </c>
      <c r="D134" s="311" t="s">
        <v>202</v>
      </c>
      <c r="E134" s="312" t="s">
        <v>1</v>
      </c>
      <c r="F134" s="284">
        <v>45000</v>
      </c>
      <c r="G134" s="284">
        <v>45000</v>
      </c>
      <c r="H134" s="285"/>
      <c r="I134" s="285"/>
      <c r="J134" s="322">
        <f aca="true" t="shared" si="3" ref="J134:J149">ROUND(H134/G134*100,1)</f>
        <v>0</v>
      </c>
      <c r="K134" s="26"/>
    </row>
    <row r="135" spans="1:11" ht="15">
      <c r="A135" s="103"/>
      <c r="C135" s="178" t="s">
        <v>18</v>
      </c>
      <c r="D135" s="311" t="s">
        <v>203</v>
      </c>
      <c r="E135" s="312" t="s">
        <v>1</v>
      </c>
      <c r="F135" s="284">
        <v>30000</v>
      </c>
      <c r="G135" s="284">
        <v>30000</v>
      </c>
      <c r="H135" s="285">
        <v>1573.69</v>
      </c>
      <c r="I135" s="285"/>
      <c r="J135" s="263">
        <f t="shared" si="3"/>
        <v>5.2</v>
      </c>
      <c r="K135" s="26"/>
    </row>
    <row r="136" spans="1:11" ht="15">
      <c r="A136" s="103"/>
      <c r="C136" s="178" t="s">
        <v>18</v>
      </c>
      <c r="D136" s="311" t="s">
        <v>308</v>
      </c>
      <c r="E136" s="312" t="s">
        <v>1</v>
      </c>
      <c r="F136" s="284"/>
      <c r="G136" s="284">
        <v>10000</v>
      </c>
      <c r="H136" s="285"/>
      <c r="I136" s="285"/>
      <c r="J136" s="322">
        <f t="shared" si="3"/>
        <v>0</v>
      </c>
      <c r="K136" s="26"/>
    </row>
    <row r="137" spans="1:11" ht="15">
      <c r="A137" s="103"/>
      <c r="C137" s="178" t="s">
        <v>18</v>
      </c>
      <c r="D137" s="311" t="s">
        <v>309</v>
      </c>
      <c r="E137" s="312" t="s">
        <v>1</v>
      </c>
      <c r="F137" s="284"/>
      <c r="G137" s="284">
        <v>12500</v>
      </c>
      <c r="H137" s="285">
        <v>8106.95</v>
      </c>
      <c r="I137" s="285">
        <v>6879.6</v>
      </c>
      <c r="J137" s="266">
        <f t="shared" si="3"/>
        <v>64.9</v>
      </c>
      <c r="K137" s="26"/>
    </row>
    <row r="138" spans="1:12" s="25" customFormat="1" ht="24" customHeight="1">
      <c r="A138" s="102"/>
      <c r="B138" s="21"/>
      <c r="C138" s="178" t="s">
        <v>18</v>
      </c>
      <c r="D138" s="390" t="s">
        <v>204</v>
      </c>
      <c r="E138" s="391" t="s">
        <v>1</v>
      </c>
      <c r="F138" s="370">
        <v>12000</v>
      </c>
      <c r="G138" s="370">
        <v>12000</v>
      </c>
      <c r="H138" s="371"/>
      <c r="I138" s="371"/>
      <c r="J138" s="322">
        <f t="shared" si="3"/>
        <v>0</v>
      </c>
      <c r="K138" s="23"/>
      <c r="L138" s="24"/>
    </row>
    <row r="139" spans="1:12" s="12" customFormat="1" ht="17.25" customHeight="1">
      <c r="A139" s="103"/>
      <c r="C139" s="178"/>
      <c r="D139" s="336" t="s">
        <v>33</v>
      </c>
      <c r="E139" s="327"/>
      <c r="F139" s="288">
        <f>SUM(F140:F148)</f>
        <v>46000</v>
      </c>
      <c r="G139" s="288">
        <f>SUM(G140:G148)</f>
        <v>89198</v>
      </c>
      <c r="H139" s="288">
        <f>SUM(H140:H148)</f>
        <v>72898.52</v>
      </c>
      <c r="I139" s="288">
        <f>SUM(I140:I148)</f>
        <v>19179.48</v>
      </c>
      <c r="J139" s="289">
        <f t="shared" si="3"/>
        <v>81.7</v>
      </c>
      <c r="K139" s="26"/>
      <c r="L139" s="34"/>
    </row>
    <row r="140" spans="1:15" ht="36.75" customHeight="1">
      <c r="A140" s="103"/>
      <c r="C140" s="178" t="s">
        <v>18</v>
      </c>
      <c r="D140" s="344" t="s">
        <v>205</v>
      </c>
      <c r="E140" s="309" t="s">
        <v>1</v>
      </c>
      <c r="F140" s="259">
        <v>25000</v>
      </c>
      <c r="G140" s="259">
        <v>25000</v>
      </c>
      <c r="H140" s="283">
        <v>21243.48</v>
      </c>
      <c r="I140" s="283">
        <v>16059.48</v>
      </c>
      <c r="J140" s="392">
        <f t="shared" si="3"/>
        <v>85</v>
      </c>
      <c r="K140" s="26"/>
      <c r="M140" s="88"/>
      <c r="N140" s="88"/>
      <c r="O140" s="88"/>
    </row>
    <row r="141" spans="1:11" ht="16.5" customHeight="1">
      <c r="A141" s="103"/>
      <c r="C141" s="178" t="s">
        <v>18</v>
      </c>
      <c r="D141" s="344" t="s">
        <v>280</v>
      </c>
      <c r="E141" s="309" t="s">
        <v>1</v>
      </c>
      <c r="F141" s="259"/>
      <c r="G141" s="259">
        <v>10992</v>
      </c>
      <c r="H141" s="283">
        <v>10992</v>
      </c>
      <c r="I141" s="283"/>
      <c r="J141" s="260">
        <f t="shared" si="3"/>
        <v>100</v>
      </c>
      <c r="K141" s="26"/>
    </row>
    <row r="142" spans="1:11" ht="16.5" customHeight="1">
      <c r="A142" s="103"/>
      <c r="C142" s="178" t="s">
        <v>18</v>
      </c>
      <c r="D142" s="344" t="s">
        <v>310</v>
      </c>
      <c r="E142" s="309" t="s">
        <v>1</v>
      </c>
      <c r="F142" s="259"/>
      <c r="G142" s="259">
        <v>25000</v>
      </c>
      <c r="H142" s="283">
        <v>11832</v>
      </c>
      <c r="I142" s="283"/>
      <c r="J142" s="260">
        <f t="shared" si="3"/>
        <v>47.3</v>
      </c>
      <c r="K142" s="26"/>
    </row>
    <row r="143" spans="1:11" ht="16.5" customHeight="1">
      <c r="A143" s="103"/>
      <c r="C143" s="178" t="s">
        <v>18</v>
      </c>
      <c r="D143" s="344" t="s">
        <v>350</v>
      </c>
      <c r="E143" s="309" t="s">
        <v>1</v>
      </c>
      <c r="F143" s="259"/>
      <c r="G143" s="259"/>
      <c r="H143" s="283">
        <v>1950</v>
      </c>
      <c r="I143" s="283"/>
      <c r="J143" s="388"/>
      <c r="K143" s="26"/>
    </row>
    <row r="144" spans="1:11" ht="16.5" customHeight="1">
      <c r="A144" s="103"/>
      <c r="C144" s="178" t="s">
        <v>18</v>
      </c>
      <c r="D144" s="344" t="s">
        <v>311</v>
      </c>
      <c r="E144" s="309" t="s">
        <v>1</v>
      </c>
      <c r="F144" s="259"/>
      <c r="G144" s="259">
        <v>7206</v>
      </c>
      <c r="H144" s="283">
        <v>6698.76</v>
      </c>
      <c r="I144" s="283"/>
      <c r="J144" s="260">
        <f t="shared" si="3"/>
        <v>93</v>
      </c>
      <c r="K144" s="26"/>
    </row>
    <row r="145" spans="1:11" ht="15">
      <c r="A145" s="103"/>
      <c r="C145" s="178" t="s">
        <v>18</v>
      </c>
      <c r="D145" s="311" t="s">
        <v>206</v>
      </c>
      <c r="E145" s="312" t="s">
        <v>1</v>
      </c>
      <c r="F145" s="284">
        <v>6500</v>
      </c>
      <c r="G145" s="284">
        <v>6500</v>
      </c>
      <c r="H145" s="285">
        <v>6479.4</v>
      </c>
      <c r="I145" s="285"/>
      <c r="J145" s="263">
        <f t="shared" si="3"/>
        <v>99.7</v>
      </c>
      <c r="K145" s="26"/>
    </row>
    <row r="146" spans="1:11" ht="15">
      <c r="A146" s="103"/>
      <c r="C146" s="178" t="s">
        <v>18</v>
      </c>
      <c r="D146" s="311" t="s">
        <v>207</v>
      </c>
      <c r="E146" s="312" t="s">
        <v>1</v>
      </c>
      <c r="F146" s="284">
        <v>5500</v>
      </c>
      <c r="G146" s="284">
        <v>5500</v>
      </c>
      <c r="H146" s="285">
        <v>6240</v>
      </c>
      <c r="I146" s="285">
        <v>3120</v>
      </c>
      <c r="J146" s="266">
        <f t="shared" si="3"/>
        <v>113.5</v>
      </c>
      <c r="K146" s="26"/>
    </row>
    <row r="147" spans="1:11" ht="26.25">
      <c r="A147" s="103"/>
      <c r="C147" s="178" t="s">
        <v>18</v>
      </c>
      <c r="D147" s="311" t="s">
        <v>312</v>
      </c>
      <c r="E147" s="312" t="s">
        <v>1</v>
      </c>
      <c r="F147" s="284">
        <v>5000</v>
      </c>
      <c r="G147" s="284">
        <v>5000</v>
      </c>
      <c r="H147" s="285">
        <v>6662.88</v>
      </c>
      <c r="I147" s="285"/>
      <c r="J147" s="266">
        <f t="shared" si="3"/>
        <v>133.3</v>
      </c>
      <c r="K147" s="26"/>
    </row>
    <row r="148" spans="1:11" ht="26.25">
      <c r="A148" s="112"/>
      <c r="B148" s="39"/>
      <c r="C148" s="178" t="s">
        <v>18</v>
      </c>
      <c r="D148" s="393" t="s">
        <v>208</v>
      </c>
      <c r="E148" s="394" t="s">
        <v>1</v>
      </c>
      <c r="F148" s="354">
        <v>4000</v>
      </c>
      <c r="G148" s="354">
        <v>4000</v>
      </c>
      <c r="H148" s="355">
        <v>800</v>
      </c>
      <c r="I148" s="355"/>
      <c r="J148" s="395">
        <f t="shared" si="3"/>
        <v>20</v>
      </c>
      <c r="K148" s="40"/>
    </row>
    <row r="149" spans="1:12" s="38" customFormat="1" ht="20.25" customHeight="1">
      <c r="A149" s="113"/>
      <c r="B149" s="51"/>
      <c r="C149" s="396"/>
      <c r="D149" s="397" t="s">
        <v>209</v>
      </c>
      <c r="E149" s="398" t="s">
        <v>1</v>
      </c>
      <c r="F149" s="399">
        <v>10000</v>
      </c>
      <c r="G149" s="399">
        <v>10000</v>
      </c>
      <c r="H149" s="400"/>
      <c r="I149" s="400"/>
      <c r="J149" s="256">
        <f t="shared" si="3"/>
        <v>0</v>
      </c>
      <c r="K149" s="52"/>
      <c r="L149" s="37"/>
    </row>
    <row r="150" spans="1:14" s="25" customFormat="1" ht="26.25">
      <c r="A150" s="104"/>
      <c r="B150" s="27"/>
      <c r="C150" s="267" t="s">
        <v>15</v>
      </c>
      <c r="D150" s="401" t="s">
        <v>360</v>
      </c>
      <c r="E150" s="402"/>
      <c r="F150" s="403"/>
      <c r="G150" s="403"/>
      <c r="H150" s="404"/>
      <c r="I150" s="404"/>
      <c r="J150" s="405"/>
      <c r="K150" s="28"/>
      <c r="L150" s="24"/>
      <c r="N150" s="25" t="s">
        <v>210</v>
      </c>
    </row>
    <row r="151" spans="1:14" s="21" customFormat="1" ht="24" customHeight="1">
      <c r="A151" s="105"/>
      <c r="B151" s="22"/>
      <c r="C151" s="251"/>
      <c r="D151" s="274" t="s">
        <v>211</v>
      </c>
      <c r="E151" s="275"/>
      <c r="F151" s="276">
        <f>SUM(F152,F167,F173,F176,F179,F182,F186,F197,F198)</f>
        <v>1861535</v>
      </c>
      <c r="G151" s="276">
        <f>SUM(G152,G167,G173,G176,G179,G182,G186,G197,G198,G195)</f>
        <v>1997996</v>
      </c>
      <c r="H151" s="276">
        <f>SUM(H152,H167,H173,H176,H179,H182,H186,H197,H198,H195)</f>
        <v>1445701.7800000003</v>
      </c>
      <c r="I151" s="276">
        <f>SUM(I152,I167,I173,I176,I179,I182,I186,I197,I198,I195)</f>
        <v>48247.64</v>
      </c>
      <c r="J151" s="298">
        <f aca="true" t="shared" si="4" ref="J151:J175">ROUND(H151/G151*100,1)</f>
        <v>72.4</v>
      </c>
      <c r="K151" s="32"/>
      <c r="L151" s="41"/>
      <c r="N151" s="129"/>
    </row>
    <row r="152" spans="1:14" s="12" customFormat="1" ht="17.25" customHeight="1">
      <c r="A152" s="103"/>
      <c r="C152" s="178"/>
      <c r="D152" s="387" t="s">
        <v>34</v>
      </c>
      <c r="E152" s="303"/>
      <c r="F152" s="74">
        <f>SUM(F153:F161,F164)</f>
        <v>914795</v>
      </c>
      <c r="G152" s="74">
        <f>SUM(G153:G161,G164)</f>
        <v>924795</v>
      </c>
      <c r="H152" s="74">
        <f>SUM(H153:H161,H164)</f>
        <v>736019.8300000001</v>
      </c>
      <c r="I152" s="74">
        <f>SUM(I153:I161,I164)</f>
        <v>23951.81</v>
      </c>
      <c r="J152" s="279">
        <f t="shared" si="4"/>
        <v>79.6</v>
      </c>
      <c r="K152" s="26"/>
      <c r="L152" s="117"/>
      <c r="M152" s="117"/>
      <c r="N152" s="117"/>
    </row>
    <row r="153" spans="1:11" ht="16.5" customHeight="1">
      <c r="A153" s="103"/>
      <c r="C153" s="178" t="s">
        <v>15</v>
      </c>
      <c r="D153" s="344" t="s">
        <v>35</v>
      </c>
      <c r="E153" s="309" t="s">
        <v>1</v>
      </c>
      <c r="F153" s="259">
        <v>560000</v>
      </c>
      <c r="G153" s="259">
        <v>560000</v>
      </c>
      <c r="H153" s="283">
        <v>521110.25</v>
      </c>
      <c r="I153" s="283"/>
      <c r="J153" s="260">
        <f t="shared" si="4"/>
        <v>93.1</v>
      </c>
      <c r="K153" s="26"/>
    </row>
    <row r="154" spans="1:11" ht="15">
      <c r="A154" s="103"/>
      <c r="C154" s="178" t="s">
        <v>15</v>
      </c>
      <c r="D154" s="311" t="s">
        <v>212</v>
      </c>
      <c r="E154" s="312" t="s">
        <v>1</v>
      </c>
      <c r="F154" s="284">
        <v>100000</v>
      </c>
      <c r="G154" s="284">
        <v>100000</v>
      </c>
      <c r="H154" s="285">
        <v>94450.77</v>
      </c>
      <c r="I154" s="285">
        <v>288</v>
      </c>
      <c r="J154" s="263">
        <f t="shared" si="4"/>
        <v>94.5</v>
      </c>
      <c r="K154" s="26"/>
    </row>
    <row r="155" spans="1:11" ht="15.75" customHeight="1">
      <c r="A155" s="103"/>
      <c r="C155" s="178" t="s">
        <v>15</v>
      </c>
      <c r="D155" s="311" t="s">
        <v>213</v>
      </c>
      <c r="E155" s="312" t="s">
        <v>1</v>
      </c>
      <c r="F155" s="284">
        <v>85000</v>
      </c>
      <c r="G155" s="284">
        <v>85000</v>
      </c>
      <c r="H155" s="285">
        <v>23663.81</v>
      </c>
      <c r="I155" s="285">
        <v>23663.81</v>
      </c>
      <c r="J155" s="263">
        <f t="shared" si="4"/>
        <v>27.8</v>
      </c>
      <c r="K155" s="26"/>
    </row>
    <row r="156" spans="1:11" ht="15.75" customHeight="1">
      <c r="A156" s="103"/>
      <c r="C156" s="178" t="s">
        <v>8</v>
      </c>
      <c r="D156" s="311" t="s">
        <v>214</v>
      </c>
      <c r="E156" s="312" t="s">
        <v>3</v>
      </c>
      <c r="F156" s="284">
        <v>48000</v>
      </c>
      <c r="G156" s="284">
        <v>48000</v>
      </c>
      <c r="H156" s="285">
        <v>48000</v>
      </c>
      <c r="I156" s="285"/>
      <c r="J156" s="263">
        <f t="shared" si="4"/>
        <v>100</v>
      </c>
      <c r="K156" s="26"/>
    </row>
    <row r="157" spans="1:11" ht="15.75" customHeight="1">
      <c r="A157" s="103"/>
      <c r="B157" s="12" t="s">
        <v>8</v>
      </c>
      <c r="C157" s="178"/>
      <c r="D157" s="311" t="s">
        <v>215</v>
      </c>
      <c r="E157" s="312" t="s">
        <v>3</v>
      </c>
      <c r="F157" s="284">
        <v>48000</v>
      </c>
      <c r="G157" s="284">
        <v>48000</v>
      </c>
      <c r="H157" s="285"/>
      <c r="I157" s="285"/>
      <c r="J157" s="322">
        <f t="shared" si="4"/>
        <v>0</v>
      </c>
      <c r="K157" s="26"/>
    </row>
    <row r="158" spans="1:12" s="25" customFormat="1" ht="15">
      <c r="A158" s="102"/>
      <c r="B158" s="21"/>
      <c r="C158" s="272" t="s">
        <v>15</v>
      </c>
      <c r="D158" s="390" t="s">
        <v>216</v>
      </c>
      <c r="E158" s="391" t="s">
        <v>1</v>
      </c>
      <c r="F158" s="370">
        <v>30000</v>
      </c>
      <c r="G158" s="370">
        <v>30000</v>
      </c>
      <c r="H158" s="371"/>
      <c r="I158" s="371"/>
      <c r="J158" s="322">
        <f t="shared" si="4"/>
        <v>0</v>
      </c>
      <c r="K158" s="23"/>
      <c r="L158" s="24"/>
    </row>
    <row r="159" spans="1:12" s="25" customFormat="1" ht="25.5">
      <c r="A159" s="102"/>
      <c r="B159" s="21"/>
      <c r="C159" s="272" t="s">
        <v>12</v>
      </c>
      <c r="D159" s="390" t="s">
        <v>217</v>
      </c>
      <c r="E159" s="391" t="s">
        <v>3</v>
      </c>
      <c r="F159" s="370"/>
      <c r="G159" s="370">
        <v>10000</v>
      </c>
      <c r="H159" s="371">
        <v>10000</v>
      </c>
      <c r="I159" s="371"/>
      <c r="J159" s="263">
        <f t="shared" si="4"/>
        <v>100</v>
      </c>
      <c r="K159" s="23"/>
      <c r="L159" s="24"/>
    </row>
    <row r="160" spans="1:11" ht="15">
      <c r="A160" s="103"/>
      <c r="C160" s="178" t="s">
        <v>15</v>
      </c>
      <c r="D160" s="311" t="s">
        <v>218</v>
      </c>
      <c r="E160" s="312" t="s">
        <v>1</v>
      </c>
      <c r="F160" s="284">
        <v>5000</v>
      </c>
      <c r="G160" s="284">
        <v>5000</v>
      </c>
      <c r="H160" s="285"/>
      <c r="I160" s="285"/>
      <c r="J160" s="322">
        <f t="shared" si="4"/>
        <v>0</v>
      </c>
      <c r="K160" s="26"/>
    </row>
    <row r="161" spans="1:11" ht="16.5" customHeight="1">
      <c r="A161" s="103"/>
      <c r="C161" s="178"/>
      <c r="D161" s="337" t="s">
        <v>219</v>
      </c>
      <c r="E161" s="327" t="s">
        <v>3</v>
      </c>
      <c r="F161" s="349">
        <f>SUM(F162:F163)</f>
        <v>11485</v>
      </c>
      <c r="G161" s="349">
        <f>SUM(G162:G163)</f>
        <v>11485</v>
      </c>
      <c r="H161" s="349">
        <f>SUM(H162:H163)</f>
        <v>11485</v>
      </c>
      <c r="I161" s="349"/>
      <c r="J161" s="289">
        <f t="shared" si="4"/>
        <v>100</v>
      </c>
      <c r="K161" s="26"/>
    </row>
    <row r="162" spans="1:12" s="50" customFormat="1" ht="16.5" customHeight="1">
      <c r="A162" s="110"/>
      <c r="B162" s="45"/>
      <c r="C162" s="178" t="s">
        <v>15</v>
      </c>
      <c r="D162" s="46" t="s">
        <v>220</v>
      </c>
      <c r="E162" s="53"/>
      <c r="F162" s="47">
        <v>6000</v>
      </c>
      <c r="G162" s="47">
        <v>6000</v>
      </c>
      <c r="H162" s="119">
        <v>6000</v>
      </c>
      <c r="I162" s="119"/>
      <c r="J162" s="279">
        <f t="shared" si="4"/>
        <v>100</v>
      </c>
      <c r="K162" s="48"/>
      <c r="L162" s="49"/>
    </row>
    <row r="163" spans="1:12" s="50" customFormat="1" ht="15.75" customHeight="1">
      <c r="A163" s="110"/>
      <c r="B163" s="45"/>
      <c r="C163" s="178" t="s">
        <v>12</v>
      </c>
      <c r="D163" s="54" t="s">
        <v>221</v>
      </c>
      <c r="E163" s="55"/>
      <c r="F163" s="56">
        <v>5485</v>
      </c>
      <c r="G163" s="56">
        <v>5485</v>
      </c>
      <c r="H163" s="120">
        <v>5485</v>
      </c>
      <c r="I163" s="120"/>
      <c r="J163" s="260">
        <f t="shared" si="4"/>
        <v>100</v>
      </c>
      <c r="K163" s="48"/>
      <c r="L163" s="49"/>
    </row>
    <row r="164" spans="1:11" ht="16.5" customHeight="1">
      <c r="A164" s="103"/>
      <c r="C164" s="178" t="s">
        <v>12</v>
      </c>
      <c r="D164" s="337" t="s">
        <v>222</v>
      </c>
      <c r="E164" s="327" t="s">
        <v>3</v>
      </c>
      <c r="F164" s="349">
        <f>SUM(F165:F166)</f>
        <v>27310</v>
      </c>
      <c r="G164" s="349">
        <f>SUM(G165:G166)</f>
        <v>27310</v>
      </c>
      <c r="H164" s="349">
        <f>SUM(H165:H166)</f>
        <v>27310</v>
      </c>
      <c r="I164" s="350"/>
      <c r="J164" s="289">
        <f t="shared" si="4"/>
        <v>100</v>
      </c>
      <c r="K164" s="26"/>
    </row>
    <row r="165" spans="1:12" s="50" customFormat="1" ht="16.5" customHeight="1">
      <c r="A165" s="110"/>
      <c r="B165" s="45"/>
      <c r="C165" s="45"/>
      <c r="D165" s="46" t="s">
        <v>36</v>
      </c>
      <c r="E165" s="53"/>
      <c r="F165" s="47">
        <v>22250</v>
      </c>
      <c r="G165" s="47">
        <v>22250</v>
      </c>
      <c r="H165" s="119">
        <v>22250</v>
      </c>
      <c r="I165" s="119"/>
      <c r="J165" s="279">
        <f t="shared" si="4"/>
        <v>100</v>
      </c>
      <c r="K165" s="48"/>
      <c r="L165" s="49"/>
    </row>
    <row r="166" spans="1:12" s="63" customFormat="1" ht="27" customHeight="1">
      <c r="A166" s="114"/>
      <c r="B166" s="57"/>
      <c r="C166" s="57"/>
      <c r="D166" s="58" t="s">
        <v>223</v>
      </c>
      <c r="E166" s="59"/>
      <c r="F166" s="60">
        <v>5060</v>
      </c>
      <c r="G166" s="60">
        <v>5060</v>
      </c>
      <c r="H166" s="121">
        <v>5060</v>
      </c>
      <c r="I166" s="121"/>
      <c r="J166" s="260">
        <f t="shared" si="4"/>
        <v>100</v>
      </c>
      <c r="K166" s="61"/>
      <c r="L166" s="62"/>
    </row>
    <row r="167" spans="1:12" s="12" customFormat="1" ht="31.5" customHeight="1">
      <c r="A167" s="103"/>
      <c r="C167" s="178"/>
      <c r="D167" s="337" t="s">
        <v>361</v>
      </c>
      <c r="E167" s="327"/>
      <c r="F167" s="288">
        <f>SUM(F168:F172)</f>
        <v>168000</v>
      </c>
      <c r="G167" s="288">
        <f>SUM(G168:G172)</f>
        <v>227900</v>
      </c>
      <c r="H167" s="288">
        <f>SUM(H168:H172)</f>
        <v>227900</v>
      </c>
      <c r="I167" s="288">
        <f>SUM(I168:I172)</f>
        <v>10000</v>
      </c>
      <c r="J167" s="395">
        <f t="shared" si="4"/>
        <v>100</v>
      </c>
      <c r="K167" s="26"/>
      <c r="L167" s="34"/>
    </row>
    <row r="168" spans="1:11" ht="20.25" customHeight="1">
      <c r="A168" s="103"/>
      <c r="C168" s="178" t="s">
        <v>15</v>
      </c>
      <c r="D168" s="406" t="s">
        <v>224</v>
      </c>
      <c r="E168" s="303" t="s">
        <v>3</v>
      </c>
      <c r="F168" s="293">
        <v>69600</v>
      </c>
      <c r="G168" s="293">
        <f>69600+24900</f>
        <v>94500</v>
      </c>
      <c r="H168" s="294">
        <v>94500</v>
      </c>
      <c r="I168" s="294"/>
      <c r="J168" s="279">
        <f t="shared" si="4"/>
        <v>100</v>
      </c>
      <c r="K168" s="26"/>
    </row>
    <row r="169" spans="1:11" ht="15" customHeight="1">
      <c r="A169" s="103"/>
      <c r="C169" s="178" t="s">
        <v>15</v>
      </c>
      <c r="D169" s="323" t="s">
        <v>225</v>
      </c>
      <c r="E169" s="312" t="s">
        <v>3</v>
      </c>
      <c r="F169" s="284">
        <v>28000</v>
      </c>
      <c r="G169" s="284">
        <f>28000+15000</f>
        <v>43000</v>
      </c>
      <c r="H169" s="285">
        <v>43000</v>
      </c>
      <c r="I169" s="285"/>
      <c r="J169" s="266">
        <f t="shared" si="4"/>
        <v>100</v>
      </c>
      <c r="K169" s="26"/>
    </row>
    <row r="170" spans="1:11" ht="15" customHeight="1">
      <c r="A170" s="103"/>
      <c r="C170" s="178" t="s">
        <v>12</v>
      </c>
      <c r="D170" s="323" t="s">
        <v>313</v>
      </c>
      <c r="E170" s="312" t="s">
        <v>3</v>
      </c>
      <c r="F170" s="284"/>
      <c r="G170" s="284">
        <v>20000</v>
      </c>
      <c r="H170" s="285">
        <v>20000</v>
      </c>
      <c r="I170" s="285">
        <v>10000</v>
      </c>
      <c r="J170" s="263">
        <f t="shared" si="4"/>
        <v>100</v>
      </c>
      <c r="K170" s="26"/>
    </row>
    <row r="171" spans="1:11" ht="15" customHeight="1">
      <c r="A171" s="103"/>
      <c r="C171" s="178" t="s">
        <v>12</v>
      </c>
      <c r="D171" s="323" t="s">
        <v>226</v>
      </c>
      <c r="E171" s="312" t="s">
        <v>3</v>
      </c>
      <c r="F171" s="284">
        <v>27650</v>
      </c>
      <c r="G171" s="284">
        <v>27650</v>
      </c>
      <c r="H171" s="285">
        <v>27650</v>
      </c>
      <c r="I171" s="285"/>
      <c r="J171" s="263">
        <f t="shared" si="4"/>
        <v>100</v>
      </c>
      <c r="K171" s="26"/>
    </row>
    <row r="172" spans="1:12" s="25" customFormat="1" ht="27.75" customHeight="1">
      <c r="A172" s="102"/>
      <c r="B172" s="21"/>
      <c r="C172" s="272" t="s">
        <v>12</v>
      </c>
      <c r="D172" s="407" t="s">
        <v>227</v>
      </c>
      <c r="E172" s="303" t="s">
        <v>3</v>
      </c>
      <c r="F172" s="408">
        <f>20000+22750</f>
        <v>42750</v>
      </c>
      <c r="G172" s="408">
        <f>20000+22750</f>
        <v>42750</v>
      </c>
      <c r="H172" s="409">
        <v>42750</v>
      </c>
      <c r="I172" s="409"/>
      <c r="J172" s="260">
        <f t="shared" si="4"/>
        <v>100</v>
      </c>
      <c r="K172" s="23"/>
      <c r="L172" s="24"/>
    </row>
    <row r="173" spans="1:12" s="12" customFormat="1" ht="17.25" customHeight="1">
      <c r="A173" s="103"/>
      <c r="C173" s="178"/>
      <c r="D173" s="337" t="s">
        <v>362</v>
      </c>
      <c r="E173" s="327"/>
      <c r="F173" s="288">
        <f>SUM(F174:F175)</f>
        <v>35000</v>
      </c>
      <c r="G173" s="288">
        <f>SUM(G174:G175)</f>
        <v>35000</v>
      </c>
      <c r="H173" s="288">
        <f>SUM(H174:H175)</f>
        <v>36335.95</v>
      </c>
      <c r="I173" s="288">
        <f>SUM(I174:I175)</f>
        <v>8727.83</v>
      </c>
      <c r="J173" s="289">
        <f t="shared" si="4"/>
        <v>103.8</v>
      </c>
      <c r="K173" s="26"/>
      <c r="L173" s="34"/>
    </row>
    <row r="174" spans="1:11" ht="16.5" customHeight="1">
      <c r="A174" s="103"/>
      <c r="C174" s="178" t="s">
        <v>15</v>
      </c>
      <c r="D174" s="344" t="s">
        <v>228</v>
      </c>
      <c r="E174" s="309" t="s">
        <v>1</v>
      </c>
      <c r="F174" s="259">
        <v>25000</v>
      </c>
      <c r="G174" s="259">
        <v>25000</v>
      </c>
      <c r="H174" s="283">
        <v>27568.75</v>
      </c>
      <c r="I174" s="283">
        <v>8727.83</v>
      </c>
      <c r="J174" s="260">
        <f t="shared" si="4"/>
        <v>110.3</v>
      </c>
      <c r="K174" s="26"/>
    </row>
    <row r="175" spans="1:12" s="25" customFormat="1" ht="16.5" customHeight="1">
      <c r="A175" s="102"/>
      <c r="B175" s="21"/>
      <c r="C175" s="272" t="s">
        <v>12</v>
      </c>
      <c r="D175" s="410" t="s">
        <v>37</v>
      </c>
      <c r="E175" s="391" t="s">
        <v>1</v>
      </c>
      <c r="F175" s="370">
        <v>10000</v>
      </c>
      <c r="G175" s="370">
        <v>10000</v>
      </c>
      <c r="H175" s="371">
        <v>8767.2</v>
      </c>
      <c r="I175" s="371"/>
      <c r="J175" s="263">
        <f t="shared" si="4"/>
        <v>87.7</v>
      </c>
      <c r="K175" s="23"/>
      <c r="L175" s="24"/>
    </row>
    <row r="176" spans="1:12" s="12" customFormat="1" ht="17.25" customHeight="1">
      <c r="A176" s="103"/>
      <c r="C176" s="178"/>
      <c r="D176" s="337" t="s">
        <v>363</v>
      </c>
      <c r="E176" s="327"/>
      <c r="F176" s="288">
        <f>SUM(F177:F178)</f>
        <v>135000</v>
      </c>
      <c r="G176" s="288">
        <f>SUM(G177:G178)</f>
        <v>135000</v>
      </c>
      <c r="H176" s="288">
        <f>SUM(H177:H178)</f>
        <v>88056.02</v>
      </c>
      <c r="I176" s="288">
        <f>SUM(I177:I178)</f>
        <v>4968</v>
      </c>
      <c r="J176" s="411">
        <f>SUM(J177:J178)</f>
        <v>80.1</v>
      </c>
      <c r="K176" s="26"/>
      <c r="L176" s="34"/>
    </row>
    <row r="177" spans="1:11" ht="16.5" customHeight="1">
      <c r="A177" s="103"/>
      <c r="C177" s="178" t="s">
        <v>15</v>
      </c>
      <c r="D177" s="344" t="s">
        <v>229</v>
      </c>
      <c r="E177" s="309" t="s">
        <v>1</v>
      </c>
      <c r="F177" s="259">
        <v>25000</v>
      </c>
      <c r="G177" s="259">
        <v>25000</v>
      </c>
      <c r="H177" s="283"/>
      <c r="I177" s="283"/>
      <c r="J177" s="388">
        <f aca="true" t="shared" si="5" ref="J177:J215">ROUND(H177/G177*100,1)</f>
        <v>0</v>
      </c>
      <c r="K177" s="26"/>
    </row>
    <row r="178" spans="1:11" ht="16.5" customHeight="1">
      <c r="A178" s="103"/>
      <c r="C178" s="178" t="s">
        <v>15</v>
      </c>
      <c r="D178" s="412" t="s">
        <v>230</v>
      </c>
      <c r="E178" s="312" t="s">
        <v>1</v>
      </c>
      <c r="F178" s="284">
        <v>110000</v>
      </c>
      <c r="G178" s="284">
        <v>110000</v>
      </c>
      <c r="H178" s="285">
        <v>88056.02</v>
      </c>
      <c r="I178" s="285">
        <v>4968</v>
      </c>
      <c r="J178" s="263">
        <f t="shared" si="5"/>
        <v>80.1</v>
      </c>
      <c r="K178" s="26"/>
    </row>
    <row r="179" spans="1:12" s="12" customFormat="1" ht="17.25" customHeight="1">
      <c r="A179" s="103"/>
      <c r="C179" s="178"/>
      <c r="D179" s="336" t="s">
        <v>281</v>
      </c>
      <c r="E179" s="327"/>
      <c r="F179" s="288">
        <f>SUM(F180:F181)</f>
        <v>140000</v>
      </c>
      <c r="G179" s="288">
        <f>SUM(G180:G181)</f>
        <v>152000</v>
      </c>
      <c r="H179" s="288">
        <f>SUM(H180:H181)</f>
        <v>420</v>
      </c>
      <c r="I179" s="288"/>
      <c r="J179" s="289">
        <f t="shared" si="5"/>
        <v>0.3</v>
      </c>
      <c r="K179" s="26"/>
      <c r="L179" s="34"/>
    </row>
    <row r="180" spans="1:11" ht="36" customHeight="1">
      <c r="A180" s="103"/>
      <c r="C180" s="178" t="s">
        <v>15</v>
      </c>
      <c r="D180" s="344" t="s">
        <v>231</v>
      </c>
      <c r="E180" s="309" t="s">
        <v>1</v>
      </c>
      <c r="F180" s="259">
        <f>15000+100000-15000</f>
        <v>100000</v>
      </c>
      <c r="G180" s="259">
        <f>15000+100000-15000+12000</f>
        <v>112000</v>
      </c>
      <c r="H180" s="283"/>
      <c r="I180" s="283">
        <v>25140</v>
      </c>
      <c r="J180" s="392">
        <f t="shared" si="5"/>
        <v>0</v>
      </c>
      <c r="K180" s="26"/>
    </row>
    <row r="181" spans="1:11" ht="15">
      <c r="A181" s="103"/>
      <c r="C181" s="178" t="s">
        <v>12</v>
      </c>
      <c r="D181" s="311" t="s">
        <v>232</v>
      </c>
      <c r="E181" s="312" t="s">
        <v>1</v>
      </c>
      <c r="F181" s="284">
        <v>40000</v>
      </c>
      <c r="G181" s="284">
        <v>40000</v>
      </c>
      <c r="H181" s="285">
        <v>420</v>
      </c>
      <c r="I181" s="285"/>
      <c r="J181" s="266">
        <f t="shared" si="5"/>
        <v>1.1</v>
      </c>
      <c r="K181" s="26"/>
    </row>
    <row r="182" spans="1:12" s="12" customFormat="1" ht="17.25" customHeight="1">
      <c r="A182" s="103"/>
      <c r="C182" s="178"/>
      <c r="D182" s="336" t="s">
        <v>233</v>
      </c>
      <c r="E182" s="327"/>
      <c r="F182" s="288">
        <f>SUM(F183:F185)</f>
        <v>96740</v>
      </c>
      <c r="G182" s="288">
        <f>SUM(G183:G185)</f>
        <v>96740</v>
      </c>
      <c r="H182" s="288">
        <f>SUM(H183:H185)</f>
        <v>13434</v>
      </c>
      <c r="I182" s="288">
        <f>SUM(I183:I185)</f>
        <v>600</v>
      </c>
      <c r="J182" s="289">
        <f t="shared" si="5"/>
        <v>13.9</v>
      </c>
      <c r="K182" s="26"/>
      <c r="L182" s="34"/>
    </row>
    <row r="183" spans="1:11" ht="26.25">
      <c r="A183" s="103"/>
      <c r="C183" s="178" t="s">
        <v>12</v>
      </c>
      <c r="D183" s="344" t="s">
        <v>234</v>
      </c>
      <c r="E183" s="309" t="s">
        <v>1</v>
      </c>
      <c r="F183" s="259">
        <v>11640</v>
      </c>
      <c r="G183" s="259">
        <v>11640</v>
      </c>
      <c r="H183" s="283">
        <v>7800</v>
      </c>
      <c r="I183" s="283"/>
      <c r="J183" s="392">
        <f t="shared" si="5"/>
        <v>67</v>
      </c>
      <c r="K183" s="26"/>
    </row>
    <row r="184" spans="1:11" ht="15">
      <c r="A184" s="103"/>
      <c r="C184" s="178" t="s">
        <v>15</v>
      </c>
      <c r="D184" s="311" t="s">
        <v>235</v>
      </c>
      <c r="E184" s="312" t="s">
        <v>1</v>
      </c>
      <c r="F184" s="284">
        <v>80000</v>
      </c>
      <c r="G184" s="284">
        <v>80000</v>
      </c>
      <c r="H184" s="285">
        <v>600</v>
      </c>
      <c r="I184" s="285">
        <v>600</v>
      </c>
      <c r="J184" s="263">
        <f t="shared" si="5"/>
        <v>0.8</v>
      </c>
      <c r="K184" s="26"/>
    </row>
    <row r="185" spans="1:12" s="25" customFormat="1" ht="16.5" customHeight="1">
      <c r="A185" s="102"/>
      <c r="B185" s="21"/>
      <c r="C185" s="272" t="s">
        <v>15</v>
      </c>
      <c r="D185" s="390" t="s">
        <v>236</v>
      </c>
      <c r="E185" s="391" t="s">
        <v>1</v>
      </c>
      <c r="F185" s="370">
        <v>5100</v>
      </c>
      <c r="G185" s="370">
        <v>5100</v>
      </c>
      <c r="H185" s="371">
        <v>5034</v>
      </c>
      <c r="I185" s="371"/>
      <c r="J185" s="263">
        <f t="shared" si="5"/>
        <v>98.7</v>
      </c>
      <c r="K185" s="23"/>
      <c r="L185" s="24"/>
    </row>
    <row r="186" spans="1:12" s="12" customFormat="1" ht="17.25" customHeight="1">
      <c r="A186" s="103"/>
      <c r="C186" s="178"/>
      <c r="D186" s="336" t="s">
        <v>38</v>
      </c>
      <c r="E186" s="343"/>
      <c r="F186" s="288">
        <f>SUM(F187:F194)</f>
        <v>225000</v>
      </c>
      <c r="G186" s="288">
        <f>SUM(G187:G194)</f>
        <v>275361</v>
      </c>
      <c r="H186" s="288">
        <f>SUM(H187:H194)</f>
        <v>244134.6</v>
      </c>
      <c r="I186" s="288">
        <f>SUM(I187:I194)</f>
        <v>0</v>
      </c>
      <c r="J186" s="289">
        <f t="shared" si="5"/>
        <v>88.7</v>
      </c>
      <c r="K186" s="26"/>
      <c r="L186" s="34"/>
    </row>
    <row r="187" spans="1:11" ht="16.5" customHeight="1">
      <c r="A187" s="103"/>
      <c r="C187" s="178" t="s">
        <v>15</v>
      </c>
      <c r="D187" s="413" t="s">
        <v>39</v>
      </c>
      <c r="E187" s="309" t="s">
        <v>3</v>
      </c>
      <c r="F187" s="259">
        <v>128000</v>
      </c>
      <c r="G187" s="259">
        <v>128000</v>
      </c>
      <c r="H187" s="283">
        <v>128000</v>
      </c>
      <c r="I187" s="283"/>
      <c r="J187" s="260">
        <f t="shared" si="5"/>
        <v>100</v>
      </c>
      <c r="K187" s="26"/>
    </row>
    <row r="188" spans="1:11" ht="15">
      <c r="A188" s="103"/>
      <c r="C188" s="178" t="s">
        <v>15</v>
      </c>
      <c r="D188" s="414" t="s">
        <v>237</v>
      </c>
      <c r="E188" s="312" t="s">
        <v>3</v>
      </c>
      <c r="F188" s="284">
        <v>10000</v>
      </c>
      <c r="G188" s="284">
        <v>10000</v>
      </c>
      <c r="H188" s="285">
        <v>10000</v>
      </c>
      <c r="I188" s="285"/>
      <c r="J188" s="263">
        <f t="shared" si="5"/>
        <v>100</v>
      </c>
      <c r="K188" s="26"/>
    </row>
    <row r="189" spans="1:11" ht="15">
      <c r="A189" s="103"/>
      <c r="C189" s="178" t="s">
        <v>40</v>
      </c>
      <c r="D189" s="414" t="s">
        <v>41</v>
      </c>
      <c r="E189" s="312" t="s">
        <v>3</v>
      </c>
      <c r="F189" s="284">
        <v>30000</v>
      </c>
      <c r="G189" s="284">
        <v>30000</v>
      </c>
      <c r="H189" s="285">
        <v>30000</v>
      </c>
      <c r="I189" s="285"/>
      <c r="J189" s="263">
        <f t="shared" si="5"/>
        <v>100</v>
      </c>
      <c r="K189" s="26"/>
    </row>
    <row r="190" spans="1:11" ht="15">
      <c r="A190" s="103"/>
      <c r="C190" s="178" t="s">
        <v>18</v>
      </c>
      <c r="D190" s="414" t="s">
        <v>314</v>
      </c>
      <c r="E190" s="312" t="s">
        <v>1</v>
      </c>
      <c r="F190" s="284"/>
      <c r="G190" s="284">
        <f>11400+960</f>
        <v>12360</v>
      </c>
      <c r="H190" s="285"/>
      <c r="I190" s="285"/>
      <c r="J190" s="263">
        <f t="shared" si="5"/>
        <v>0</v>
      </c>
      <c r="K190" s="26"/>
    </row>
    <row r="191" spans="1:11" ht="15">
      <c r="A191" s="103"/>
      <c r="C191" s="178" t="s">
        <v>18</v>
      </c>
      <c r="D191" s="414" t="s">
        <v>315</v>
      </c>
      <c r="E191" s="312" t="s">
        <v>1</v>
      </c>
      <c r="F191" s="284"/>
      <c r="G191" s="284">
        <f>2136+4680</f>
        <v>6816</v>
      </c>
      <c r="H191" s="285">
        <v>6816</v>
      </c>
      <c r="I191" s="285"/>
      <c r="J191" s="263">
        <f t="shared" si="5"/>
        <v>100</v>
      </c>
      <c r="K191" s="26"/>
    </row>
    <row r="192" spans="1:11" ht="15">
      <c r="A192" s="103"/>
      <c r="C192" s="178" t="s">
        <v>18</v>
      </c>
      <c r="D192" s="415" t="s">
        <v>315</v>
      </c>
      <c r="E192" s="315" t="s">
        <v>1</v>
      </c>
      <c r="F192" s="284"/>
      <c r="G192" s="316">
        <v>31185</v>
      </c>
      <c r="H192" s="317">
        <v>31185.6</v>
      </c>
      <c r="I192" s="317"/>
      <c r="J192" s="320">
        <f t="shared" si="5"/>
        <v>100</v>
      </c>
      <c r="K192" s="26"/>
    </row>
    <row r="193" spans="1:11" ht="15">
      <c r="A193" s="103"/>
      <c r="C193" s="178" t="s">
        <v>15</v>
      </c>
      <c r="D193" s="414" t="s">
        <v>42</v>
      </c>
      <c r="E193" s="312" t="s">
        <v>3</v>
      </c>
      <c r="F193" s="284">
        <v>25000</v>
      </c>
      <c r="G193" s="284">
        <v>25000</v>
      </c>
      <c r="H193" s="285">
        <v>25000</v>
      </c>
      <c r="I193" s="285"/>
      <c r="J193" s="263">
        <f t="shared" si="5"/>
        <v>100</v>
      </c>
      <c r="K193" s="26"/>
    </row>
    <row r="194" spans="1:12" s="25" customFormat="1" ht="16.5" customHeight="1">
      <c r="A194" s="102"/>
      <c r="B194" s="21"/>
      <c r="C194" s="272" t="s">
        <v>40</v>
      </c>
      <c r="D194" s="390" t="s">
        <v>43</v>
      </c>
      <c r="E194" s="391" t="s">
        <v>3</v>
      </c>
      <c r="F194" s="370">
        <v>32000</v>
      </c>
      <c r="G194" s="370">
        <v>32000</v>
      </c>
      <c r="H194" s="371">
        <v>13133</v>
      </c>
      <c r="I194" s="371"/>
      <c r="J194" s="263">
        <f t="shared" si="5"/>
        <v>41</v>
      </c>
      <c r="K194" s="23"/>
      <c r="L194" s="24"/>
    </row>
    <row r="195" spans="1:12" s="25" customFormat="1" ht="16.5" customHeight="1">
      <c r="A195" s="102"/>
      <c r="B195" s="21"/>
      <c r="C195" s="272"/>
      <c r="D195" s="416" t="s">
        <v>238</v>
      </c>
      <c r="E195" s="391"/>
      <c r="F195" s="373"/>
      <c r="G195" s="361">
        <f>SUM(G196)</f>
        <v>4200</v>
      </c>
      <c r="H195" s="361">
        <f>SUM(H196)</f>
        <v>4200</v>
      </c>
      <c r="I195" s="417"/>
      <c r="J195" s="263">
        <f t="shared" si="5"/>
        <v>100</v>
      </c>
      <c r="K195" s="23"/>
      <c r="L195" s="24"/>
    </row>
    <row r="196" spans="1:12" s="25" customFormat="1" ht="31.5" customHeight="1">
      <c r="A196" s="102"/>
      <c r="B196" s="21" t="s">
        <v>12</v>
      </c>
      <c r="C196" s="272"/>
      <c r="D196" s="418" t="s">
        <v>239</v>
      </c>
      <c r="E196" s="391" t="s">
        <v>3</v>
      </c>
      <c r="F196" s="373"/>
      <c r="G196" s="373">
        <v>4200</v>
      </c>
      <c r="H196" s="417">
        <v>4200</v>
      </c>
      <c r="I196" s="417"/>
      <c r="J196" s="263">
        <f t="shared" si="5"/>
        <v>100</v>
      </c>
      <c r="K196" s="23"/>
      <c r="L196" s="24"/>
    </row>
    <row r="197" spans="1:12" s="21" customFormat="1" ht="46.5" customHeight="1">
      <c r="A197" s="102"/>
      <c r="C197" s="272" t="s">
        <v>12</v>
      </c>
      <c r="D197" s="418" t="s">
        <v>364</v>
      </c>
      <c r="E197" s="391" t="s">
        <v>3</v>
      </c>
      <c r="F197" s="361">
        <v>7000</v>
      </c>
      <c r="G197" s="361">
        <v>7000</v>
      </c>
      <c r="H197" s="362">
        <v>7000</v>
      </c>
      <c r="I197" s="362"/>
      <c r="J197" s="263">
        <f t="shared" si="5"/>
        <v>100</v>
      </c>
      <c r="K197" s="23"/>
      <c r="L197" s="41"/>
    </row>
    <row r="198" spans="1:12" s="12" customFormat="1" ht="17.25" customHeight="1">
      <c r="A198" s="103"/>
      <c r="C198" s="178"/>
      <c r="D198" s="336" t="s">
        <v>240</v>
      </c>
      <c r="E198" s="327"/>
      <c r="F198" s="288">
        <f>SUM(F199:F200)</f>
        <v>140000</v>
      </c>
      <c r="G198" s="288">
        <f>SUM(G199:G200)</f>
        <v>140000</v>
      </c>
      <c r="H198" s="288">
        <f>SUM(H199:H200)</f>
        <v>88201.38</v>
      </c>
      <c r="I198" s="288">
        <f>SUM(I199:I200)</f>
        <v>0</v>
      </c>
      <c r="J198" s="289">
        <f t="shared" si="5"/>
        <v>63</v>
      </c>
      <c r="K198" s="26"/>
      <c r="L198" s="34"/>
    </row>
    <row r="199" spans="1:11" ht="26.25" customHeight="1">
      <c r="A199" s="103"/>
      <c r="C199" s="178" t="s">
        <v>40</v>
      </c>
      <c r="D199" s="344" t="s">
        <v>241</v>
      </c>
      <c r="E199" s="309" t="s">
        <v>3</v>
      </c>
      <c r="F199" s="259">
        <v>70000</v>
      </c>
      <c r="G199" s="259">
        <v>70000</v>
      </c>
      <c r="H199" s="283">
        <v>70000</v>
      </c>
      <c r="I199" s="283"/>
      <c r="J199" s="392">
        <f t="shared" si="5"/>
        <v>100</v>
      </c>
      <c r="K199" s="26"/>
    </row>
    <row r="200" spans="1:12" s="25" customFormat="1" ht="29.25" customHeight="1">
      <c r="A200" s="104"/>
      <c r="B200" s="27"/>
      <c r="C200" s="267" t="s">
        <v>15</v>
      </c>
      <c r="D200" s="419" t="s">
        <v>282</v>
      </c>
      <c r="E200" s="353" t="s">
        <v>1</v>
      </c>
      <c r="F200" s="270">
        <v>70000</v>
      </c>
      <c r="G200" s="270">
        <v>70000</v>
      </c>
      <c r="H200" s="295">
        <v>18201.38</v>
      </c>
      <c r="I200" s="295"/>
      <c r="J200" s="271">
        <f t="shared" si="5"/>
        <v>26</v>
      </c>
      <c r="K200" s="28"/>
      <c r="L200" s="24"/>
    </row>
    <row r="201" spans="1:12" s="21" customFormat="1" ht="24" customHeight="1">
      <c r="A201" s="105"/>
      <c r="B201" s="22"/>
      <c r="C201" s="251"/>
      <c r="D201" s="274" t="s">
        <v>242</v>
      </c>
      <c r="E201" s="275"/>
      <c r="F201" s="276">
        <f>SUM(F202,F220,F235,F240,F242,F248,F249)</f>
        <v>7622150</v>
      </c>
      <c r="G201" s="276">
        <f>SUM(G202,G220,G235,G239,G242,G248,G249)</f>
        <v>8797175</v>
      </c>
      <c r="H201" s="276">
        <f>SUM(H202,H220,H235,H239,H242,H248,H249)</f>
        <v>4104025.46</v>
      </c>
      <c r="I201" s="276">
        <f>SUM(I202,I220,I235,I239,I242,I248,I249)</f>
        <v>1236441.7599999998</v>
      </c>
      <c r="J201" s="298">
        <f t="shared" si="5"/>
        <v>46.7</v>
      </c>
      <c r="K201" s="32"/>
      <c r="L201" s="41"/>
    </row>
    <row r="202" spans="1:12" s="12" customFormat="1" ht="17.25" customHeight="1">
      <c r="A202" s="103"/>
      <c r="C202" s="178"/>
      <c r="D202" s="420" t="s">
        <v>45</v>
      </c>
      <c r="E202" s="278"/>
      <c r="F202" s="74">
        <f>SUM(F203,F208,F216:F219)</f>
        <v>4765000</v>
      </c>
      <c r="G202" s="74">
        <f>SUM(G203,G208,G216:G219)</f>
        <v>4585585</v>
      </c>
      <c r="H202" s="74">
        <f>SUM(H203,H208,H216:H219)</f>
        <v>1535474.82</v>
      </c>
      <c r="I202" s="74">
        <f>SUM(I203,I208,I216:I219)</f>
        <v>366261.41</v>
      </c>
      <c r="J202" s="260">
        <f t="shared" si="5"/>
        <v>33.5</v>
      </c>
      <c r="K202" s="26"/>
      <c r="L202" s="34"/>
    </row>
    <row r="203" spans="1:11" ht="16.5" customHeight="1">
      <c r="A203" s="103"/>
      <c r="C203" s="178" t="s">
        <v>15</v>
      </c>
      <c r="D203" s="421" t="s">
        <v>243</v>
      </c>
      <c r="E203" s="364" t="s">
        <v>1</v>
      </c>
      <c r="F203" s="349">
        <f>SUM(F204:F207)</f>
        <v>3427000</v>
      </c>
      <c r="G203" s="349">
        <f>SUM(G204:G207)</f>
        <v>2877000</v>
      </c>
      <c r="H203" s="349">
        <f>SUM(H204:H207)</f>
        <v>314001.23</v>
      </c>
      <c r="I203" s="349">
        <f>SUM(I204:I207)</f>
        <v>137533.71999999997</v>
      </c>
      <c r="J203" s="289">
        <f t="shared" si="5"/>
        <v>10.9</v>
      </c>
      <c r="K203" s="26"/>
    </row>
    <row r="204" spans="1:12" s="45" customFormat="1" ht="15" customHeight="1">
      <c r="A204" s="110"/>
      <c r="D204" s="64" t="s">
        <v>244</v>
      </c>
      <c r="E204" s="65"/>
      <c r="F204" s="47">
        <v>300000</v>
      </c>
      <c r="G204" s="47">
        <f>300000-50000</f>
        <v>250000</v>
      </c>
      <c r="H204" s="119">
        <v>34417.36</v>
      </c>
      <c r="I204" s="119">
        <f>-129363.75+84+888</f>
        <v>-128391.75</v>
      </c>
      <c r="J204" s="279">
        <f t="shared" si="5"/>
        <v>13.8</v>
      </c>
      <c r="K204" s="48"/>
      <c r="L204" s="66"/>
    </row>
    <row r="205" spans="1:12" s="45" customFormat="1" ht="15" customHeight="1">
      <c r="A205" s="110"/>
      <c r="D205" s="67" t="s">
        <v>245</v>
      </c>
      <c r="E205" s="68"/>
      <c r="F205" s="47">
        <v>1500000</v>
      </c>
      <c r="G205" s="69">
        <v>1500000</v>
      </c>
      <c r="H205" s="122">
        <v>263008.31</v>
      </c>
      <c r="I205" s="122">
        <v>263008.31</v>
      </c>
      <c r="J205" s="422">
        <f t="shared" si="5"/>
        <v>17.5</v>
      </c>
      <c r="K205" s="48"/>
      <c r="L205" s="66"/>
    </row>
    <row r="206" spans="1:12" s="45" customFormat="1" ht="15" customHeight="1">
      <c r="A206" s="110"/>
      <c r="D206" s="64" t="s">
        <v>46</v>
      </c>
      <c r="E206" s="65"/>
      <c r="F206" s="47">
        <v>862000</v>
      </c>
      <c r="G206" s="47">
        <f>862000-500000</f>
        <v>362000</v>
      </c>
      <c r="H206" s="119">
        <v>16065.76</v>
      </c>
      <c r="I206" s="119">
        <f>1290.2+960+157.16</f>
        <v>2407.3599999999997</v>
      </c>
      <c r="J206" s="279">
        <f t="shared" si="5"/>
        <v>4.4</v>
      </c>
      <c r="K206" s="48"/>
      <c r="L206" s="66"/>
    </row>
    <row r="207" spans="1:12" s="45" customFormat="1" ht="15" customHeight="1">
      <c r="A207" s="110"/>
      <c r="D207" s="67" t="s">
        <v>46</v>
      </c>
      <c r="E207" s="68"/>
      <c r="F207" s="47">
        <v>765000</v>
      </c>
      <c r="G207" s="69">
        <v>765000</v>
      </c>
      <c r="H207" s="122">
        <v>509.8</v>
      </c>
      <c r="I207" s="122">
        <v>509.8</v>
      </c>
      <c r="J207" s="422">
        <f t="shared" si="5"/>
        <v>0.1</v>
      </c>
      <c r="K207" s="48"/>
      <c r="L207" s="66"/>
    </row>
    <row r="208" spans="1:11" ht="16.5" customHeight="1">
      <c r="A208" s="103"/>
      <c r="C208" s="178" t="s">
        <v>15</v>
      </c>
      <c r="D208" s="292" t="s">
        <v>246</v>
      </c>
      <c r="E208" s="278" t="s">
        <v>1</v>
      </c>
      <c r="F208" s="293">
        <f>SUM(F211:F214)</f>
        <v>488000</v>
      </c>
      <c r="G208" s="293">
        <f>675000+28800</f>
        <v>703800</v>
      </c>
      <c r="H208" s="293">
        <f>SUM(H211:H215)</f>
        <v>430320.56</v>
      </c>
      <c r="I208" s="293">
        <f>SUM(I211:I215)</f>
        <v>127861.44</v>
      </c>
      <c r="J208" s="279">
        <f t="shared" si="5"/>
        <v>61.1</v>
      </c>
      <c r="K208" s="26"/>
    </row>
    <row r="209" spans="1:11" ht="16.5" customHeight="1">
      <c r="A209" s="103"/>
      <c r="C209" s="178"/>
      <c r="D209" s="292"/>
      <c r="E209" s="278"/>
      <c r="F209" s="293"/>
      <c r="G209" s="293"/>
      <c r="H209" s="294"/>
      <c r="I209" s="294"/>
      <c r="J209" s="279"/>
      <c r="K209" s="26"/>
    </row>
    <row r="210" spans="1:11" ht="16.5" customHeight="1">
      <c r="A210" s="103"/>
      <c r="C210" s="178"/>
      <c r="D210" s="292"/>
      <c r="E210" s="278"/>
      <c r="F210" s="293"/>
      <c r="G210" s="293"/>
      <c r="H210" s="294"/>
      <c r="I210" s="294"/>
      <c r="J210" s="279"/>
      <c r="K210" s="26"/>
    </row>
    <row r="211" spans="1:12" s="50" customFormat="1" ht="15" customHeight="1">
      <c r="A211" s="110"/>
      <c r="B211" s="45"/>
      <c r="C211" s="45"/>
      <c r="D211" s="64" t="s">
        <v>247</v>
      </c>
      <c r="E211" s="65"/>
      <c r="F211" s="47">
        <v>200000</v>
      </c>
      <c r="G211" s="47"/>
      <c r="H211" s="119">
        <v>102997.8</v>
      </c>
      <c r="I211" s="119">
        <v>102997.8</v>
      </c>
      <c r="J211" s="279"/>
      <c r="K211" s="48"/>
      <c r="L211" s="49"/>
    </row>
    <row r="212" spans="1:12" s="50" customFormat="1" ht="15" customHeight="1">
      <c r="A212" s="110"/>
      <c r="B212" s="45"/>
      <c r="C212" s="45"/>
      <c r="D212" s="64" t="s">
        <v>248</v>
      </c>
      <c r="E212" s="65"/>
      <c r="F212" s="47">
        <v>118000</v>
      </c>
      <c r="G212" s="47"/>
      <c r="H212" s="119">
        <v>103949.76</v>
      </c>
      <c r="I212" s="119">
        <f>21183.06+380.58</f>
        <v>21563.640000000003</v>
      </c>
      <c r="J212" s="279"/>
      <c r="K212" s="48"/>
      <c r="L212" s="49"/>
    </row>
    <row r="213" spans="1:12" s="50" customFormat="1" ht="15" customHeight="1">
      <c r="A213" s="110"/>
      <c r="B213" s="45"/>
      <c r="C213" s="45"/>
      <c r="D213" s="64" t="s">
        <v>249</v>
      </c>
      <c r="E213" s="65"/>
      <c r="F213" s="47">
        <v>90000</v>
      </c>
      <c r="G213" s="47"/>
      <c r="H213" s="119">
        <v>103595.64</v>
      </c>
      <c r="I213" s="119"/>
      <c r="J213" s="279"/>
      <c r="K213" s="48"/>
      <c r="L213" s="49"/>
    </row>
    <row r="214" spans="1:12" s="50" customFormat="1" ht="15" customHeight="1">
      <c r="A214" s="110"/>
      <c r="B214" s="45"/>
      <c r="C214" s="45"/>
      <c r="D214" s="64" t="s">
        <v>250</v>
      </c>
      <c r="E214" s="65"/>
      <c r="F214" s="47">
        <v>80000</v>
      </c>
      <c r="G214" s="47"/>
      <c r="H214" s="119">
        <v>90977.36</v>
      </c>
      <c r="I214" s="119">
        <v>3300</v>
      </c>
      <c r="J214" s="279"/>
      <c r="K214" s="48"/>
      <c r="L214" s="49"/>
    </row>
    <row r="215" spans="1:12" s="50" customFormat="1" ht="15" customHeight="1">
      <c r="A215" s="110"/>
      <c r="B215" s="45"/>
      <c r="C215" s="45"/>
      <c r="D215" s="70" t="s">
        <v>251</v>
      </c>
      <c r="E215" s="71"/>
      <c r="F215" s="72"/>
      <c r="G215" s="72">
        <v>28800</v>
      </c>
      <c r="H215" s="123">
        <v>28800</v>
      </c>
      <c r="I215" s="123"/>
      <c r="J215" s="422">
        <f t="shared" si="5"/>
        <v>100</v>
      </c>
      <c r="K215" s="48"/>
      <c r="L215" s="49"/>
    </row>
    <row r="216" spans="1:11" ht="15">
      <c r="A216" s="103"/>
      <c r="C216" s="178" t="s">
        <v>15</v>
      </c>
      <c r="D216" s="423" t="s">
        <v>252</v>
      </c>
      <c r="E216" s="265" t="s">
        <v>1</v>
      </c>
      <c r="F216" s="284">
        <v>300000</v>
      </c>
      <c r="G216" s="284">
        <f>300000+117511</f>
        <v>417511</v>
      </c>
      <c r="H216" s="285">
        <v>402598.57</v>
      </c>
      <c r="I216" s="285">
        <v>25764</v>
      </c>
      <c r="J216" s="263">
        <f>ROUND(H216/G216*100,1)</f>
        <v>96.4</v>
      </c>
      <c r="K216" s="26"/>
    </row>
    <row r="217" spans="1:11" ht="15">
      <c r="A217" s="103"/>
      <c r="C217" s="178" t="s">
        <v>15</v>
      </c>
      <c r="D217" s="423" t="s">
        <v>253</v>
      </c>
      <c r="E217" s="265" t="s">
        <v>1</v>
      </c>
      <c r="F217" s="284">
        <v>390000</v>
      </c>
      <c r="G217" s="284">
        <v>390000</v>
      </c>
      <c r="H217" s="285">
        <v>289173.74</v>
      </c>
      <c r="I217" s="285">
        <v>37278.25</v>
      </c>
      <c r="J217" s="263">
        <f>ROUND(H217/G217*100,1)</f>
        <v>74.1</v>
      </c>
      <c r="K217" s="26"/>
    </row>
    <row r="218" spans="1:11" ht="15">
      <c r="A218" s="103"/>
      <c r="C218" s="178" t="s">
        <v>15</v>
      </c>
      <c r="D218" s="423" t="s">
        <v>138</v>
      </c>
      <c r="E218" s="265" t="s">
        <v>1</v>
      </c>
      <c r="F218" s="284">
        <v>90000</v>
      </c>
      <c r="G218" s="284">
        <v>90000</v>
      </c>
      <c r="H218" s="285">
        <v>19494</v>
      </c>
      <c r="I218" s="285">
        <v>19494</v>
      </c>
      <c r="J218" s="263">
        <f>ROUND(H218/G218*100,1)</f>
        <v>21.7</v>
      </c>
      <c r="K218" s="26"/>
    </row>
    <row r="219" spans="1:12" s="25" customFormat="1" ht="15">
      <c r="A219" s="102"/>
      <c r="B219" s="21"/>
      <c r="C219" s="272" t="s">
        <v>15</v>
      </c>
      <c r="D219" s="424" t="s">
        <v>254</v>
      </c>
      <c r="E219" s="369" t="s">
        <v>1</v>
      </c>
      <c r="F219" s="370">
        <v>70000</v>
      </c>
      <c r="G219" s="370">
        <f>70000+37274</f>
        <v>107274</v>
      </c>
      <c r="H219" s="371">
        <v>79886.72</v>
      </c>
      <c r="I219" s="371">
        <v>18330</v>
      </c>
      <c r="J219" s="263">
        <f>ROUND(H219/G219*100,1)</f>
        <v>74.5</v>
      </c>
      <c r="K219" s="23"/>
      <c r="L219" s="24"/>
    </row>
    <row r="220" spans="1:12" s="21" customFormat="1" ht="30" customHeight="1">
      <c r="A220" s="102"/>
      <c r="C220" s="272" t="s">
        <v>15</v>
      </c>
      <c r="D220" s="360" t="s">
        <v>365</v>
      </c>
      <c r="E220" s="425" t="s">
        <v>1</v>
      </c>
      <c r="F220" s="361">
        <f>SUM(F221:F232)</f>
        <v>1497000</v>
      </c>
      <c r="G220" s="361">
        <v>1891466</v>
      </c>
      <c r="H220" s="361">
        <f>SUM(H221:H234)</f>
        <v>1229205.21</v>
      </c>
      <c r="I220" s="361">
        <f>SUM(I221:I234)</f>
        <v>600123.4299999999</v>
      </c>
      <c r="J220" s="289">
        <f>ROUND(H220/G220*100,1)</f>
        <v>65</v>
      </c>
      <c r="K220" s="23"/>
      <c r="L220" s="41"/>
    </row>
    <row r="221" spans="1:12" s="45" customFormat="1" ht="15" customHeight="1">
      <c r="A221" s="110"/>
      <c r="D221" s="64" t="s">
        <v>255</v>
      </c>
      <c r="E221" s="65"/>
      <c r="F221" s="47">
        <v>300000</v>
      </c>
      <c r="G221" s="47"/>
      <c r="H221" s="119">
        <v>202925.88</v>
      </c>
      <c r="I221" s="119">
        <v>73833.36</v>
      </c>
      <c r="J221" s="298"/>
      <c r="K221" s="48"/>
      <c r="L221" s="66"/>
    </row>
    <row r="222" spans="1:12" s="45" customFormat="1" ht="15" customHeight="1">
      <c r="A222" s="110"/>
      <c r="D222" s="64" t="s">
        <v>256</v>
      </c>
      <c r="E222" s="65"/>
      <c r="F222" s="47">
        <v>290000</v>
      </c>
      <c r="G222" s="47"/>
      <c r="H222" s="119">
        <v>159188.59</v>
      </c>
      <c r="I222" s="119">
        <f>113891.23+2640</f>
        <v>116531.23</v>
      </c>
      <c r="J222" s="298"/>
      <c r="K222" s="48"/>
      <c r="L222" s="66"/>
    </row>
    <row r="223" spans="1:12" s="45" customFormat="1" ht="15" customHeight="1">
      <c r="A223" s="110"/>
      <c r="D223" s="64" t="s">
        <v>257</v>
      </c>
      <c r="E223" s="65"/>
      <c r="F223" s="47">
        <v>250000</v>
      </c>
      <c r="G223" s="47"/>
      <c r="H223" s="119">
        <v>270518.88</v>
      </c>
      <c r="I223" s="119">
        <v>174503.4</v>
      </c>
      <c r="J223" s="298"/>
      <c r="K223" s="48"/>
      <c r="L223" s="66"/>
    </row>
    <row r="224" spans="1:12" s="45" customFormat="1" ht="15" customHeight="1">
      <c r="A224" s="110"/>
      <c r="D224" s="64" t="s">
        <v>316</v>
      </c>
      <c r="E224" s="65"/>
      <c r="F224" s="47"/>
      <c r="G224" s="47"/>
      <c r="H224" s="119">
        <v>95327.51</v>
      </c>
      <c r="I224" s="119">
        <v>49070.51</v>
      </c>
      <c r="J224" s="298"/>
      <c r="K224" s="48"/>
      <c r="L224" s="66"/>
    </row>
    <row r="225" spans="1:12" s="45" customFormat="1" ht="15" customHeight="1">
      <c r="A225" s="110"/>
      <c r="D225" s="64" t="s">
        <v>258</v>
      </c>
      <c r="E225" s="65"/>
      <c r="F225" s="47">
        <v>125000</v>
      </c>
      <c r="G225" s="47"/>
      <c r="H225" s="119">
        <v>10740</v>
      </c>
      <c r="I225" s="119"/>
      <c r="J225" s="298"/>
      <c r="K225" s="48"/>
      <c r="L225" s="66"/>
    </row>
    <row r="226" spans="1:12" s="45" customFormat="1" ht="15" customHeight="1">
      <c r="A226" s="110"/>
      <c r="D226" s="64" t="s">
        <v>49</v>
      </c>
      <c r="E226" s="65"/>
      <c r="F226" s="47">
        <v>105000</v>
      </c>
      <c r="G226" s="47"/>
      <c r="H226" s="119">
        <v>133234.53</v>
      </c>
      <c r="I226" s="119">
        <v>60329.12</v>
      </c>
      <c r="J226" s="298"/>
      <c r="K226" s="48"/>
      <c r="L226" s="66"/>
    </row>
    <row r="227" spans="1:12" s="45" customFormat="1" ht="15" customHeight="1">
      <c r="A227" s="110"/>
      <c r="D227" s="64" t="s">
        <v>259</v>
      </c>
      <c r="E227" s="65"/>
      <c r="F227" s="47">
        <v>105000</v>
      </c>
      <c r="G227" s="47"/>
      <c r="H227" s="119">
        <v>69397.97</v>
      </c>
      <c r="I227" s="119">
        <v>53284.37</v>
      </c>
      <c r="J227" s="298"/>
      <c r="K227" s="48"/>
      <c r="L227" s="66"/>
    </row>
    <row r="228" spans="1:12" s="45" customFormat="1" ht="15" customHeight="1">
      <c r="A228" s="110"/>
      <c r="D228" s="64" t="s">
        <v>47</v>
      </c>
      <c r="E228" s="65"/>
      <c r="F228" s="47">
        <v>100000</v>
      </c>
      <c r="G228" s="47"/>
      <c r="H228" s="119">
        <v>122784.31</v>
      </c>
      <c r="I228" s="119">
        <v>9434.88</v>
      </c>
      <c r="J228" s="298"/>
      <c r="K228" s="48"/>
      <c r="L228" s="66"/>
    </row>
    <row r="229" spans="1:12" s="45" customFormat="1" ht="15" customHeight="1">
      <c r="A229" s="110"/>
      <c r="D229" s="64" t="s">
        <v>260</v>
      </c>
      <c r="E229" s="65"/>
      <c r="F229" s="47">
        <v>70000</v>
      </c>
      <c r="G229" s="47"/>
      <c r="H229" s="119">
        <v>48137.1</v>
      </c>
      <c r="I229" s="119"/>
      <c r="J229" s="298"/>
      <c r="K229" s="48"/>
      <c r="L229" s="66"/>
    </row>
    <row r="230" spans="1:12" s="45" customFormat="1" ht="15" customHeight="1">
      <c r="A230" s="110"/>
      <c r="D230" s="64" t="s">
        <v>48</v>
      </c>
      <c r="E230" s="65"/>
      <c r="F230" s="47">
        <v>70000</v>
      </c>
      <c r="G230" s="47"/>
      <c r="H230" s="119">
        <v>37115.88</v>
      </c>
      <c r="I230" s="119"/>
      <c r="J230" s="298"/>
      <c r="K230" s="48"/>
      <c r="L230" s="66"/>
    </row>
    <row r="231" spans="1:12" s="45" customFormat="1" ht="15" customHeight="1">
      <c r="A231" s="110"/>
      <c r="D231" s="64" t="s">
        <v>50</v>
      </c>
      <c r="E231" s="65"/>
      <c r="F231" s="47">
        <v>50000</v>
      </c>
      <c r="G231" s="47"/>
      <c r="H231" s="119">
        <v>19158</v>
      </c>
      <c r="I231" s="119">
        <v>4620</v>
      </c>
      <c r="J231" s="298"/>
      <c r="K231" s="48"/>
      <c r="L231" s="66"/>
    </row>
    <row r="232" spans="1:12" s="45" customFormat="1" ht="15" customHeight="1">
      <c r="A232" s="110"/>
      <c r="D232" s="64" t="s">
        <v>261</v>
      </c>
      <c r="E232" s="65"/>
      <c r="F232" s="56">
        <v>32000</v>
      </c>
      <c r="G232" s="47"/>
      <c r="H232" s="119"/>
      <c r="I232" s="119"/>
      <c r="J232" s="298"/>
      <c r="K232" s="48"/>
      <c r="L232" s="66"/>
    </row>
    <row r="233" spans="1:12" s="45" customFormat="1" ht="15" customHeight="1">
      <c r="A233" s="110"/>
      <c r="D233" s="67" t="s">
        <v>261</v>
      </c>
      <c r="E233" s="68"/>
      <c r="F233" s="69"/>
      <c r="G233" s="69">
        <f>9960+2160</f>
        <v>12120</v>
      </c>
      <c r="H233" s="122">
        <v>2160</v>
      </c>
      <c r="I233" s="122"/>
      <c r="J233" s="422">
        <f aca="true" t="shared" si="6" ref="J233:J238">ROUND(H233/G233*100,1)</f>
        <v>17.8</v>
      </c>
      <c r="K233" s="48"/>
      <c r="L233" s="66"/>
    </row>
    <row r="234" spans="1:12" s="45" customFormat="1" ht="15" customHeight="1">
      <c r="A234" s="110"/>
      <c r="D234" s="67" t="s">
        <v>262</v>
      </c>
      <c r="E234" s="68"/>
      <c r="F234" s="69"/>
      <c r="G234" s="69">
        <v>90000</v>
      </c>
      <c r="H234" s="122">
        <v>58516.56</v>
      </c>
      <c r="I234" s="122">
        <v>58516.56</v>
      </c>
      <c r="J234" s="422">
        <f t="shared" si="6"/>
        <v>65</v>
      </c>
      <c r="K234" s="48"/>
      <c r="L234" s="66"/>
    </row>
    <row r="235" spans="1:12" s="45" customFormat="1" ht="29.25" customHeight="1">
      <c r="A235" s="110"/>
      <c r="D235" s="426" t="s">
        <v>366</v>
      </c>
      <c r="E235" s="73"/>
      <c r="F235" s="74">
        <f>SUM(F236,F238)</f>
        <v>44000</v>
      </c>
      <c r="G235" s="74">
        <f>SUM(G236:G238)</f>
        <v>217150</v>
      </c>
      <c r="H235" s="74">
        <f>SUM(H236:H238)</f>
        <v>206466.52000000002</v>
      </c>
      <c r="I235" s="74">
        <f>SUM(I236:I238)</f>
        <v>34328.4</v>
      </c>
      <c r="J235" s="304">
        <f t="shared" si="6"/>
        <v>95.1</v>
      </c>
      <c r="K235" s="74">
        <f>SUM(K236,K238)</f>
        <v>0</v>
      </c>
      <c r="L235" s="66"/>
    </row>
    <row r="236" spans="1:12" s="21" customFormat="1" ht="30" customHeight="1">
      <c r="A236" s="102"/>
      <c r="C236" s="272" t="s">
        <v>15</v>
      </c>
      <c r="D236" s="427" t="s">
        <v>263</v>
      </c>
      <c r="E236" s="428" t="s">
        <v>1</v>
      </c>
      <c r="F236" s="429">
        <v>44000</v>
      </c>
      <c r="G236" s="430">
        <f>44000+20000</f>
        <v>64000</v>
      </c>
      <c r="H236" s="431">
        <v>53847.82</v>
      </c>
      <c r="I236" s="431">
        <f>30880.8+3447.6</f>
        <v>34328.4</v>
      </c>
      <c r="J236" s="289">
        <f t="shared" si="6"/>
        <v>84.1</v>
      </c>
      <c r="K236" s="23"/>
      <c r="L236" s="41"/>
    </row>
    <row r="237" spans="1:12" s="21" customFormat="1" ht="30" customHeight="1">
      <c r="A237" s="102"/>
      <c r="C237" s="272" t="s">
        <v>15</v>
      </c>
      <c r="D237" s="427" t="s">
        <v>334</v>
      </c>
      <c r="E237" s="428" t="s">
        <v>1</v>
      </c>
      <c r="F237" s="429"/>
      <c r="G237" s="430">
        <v>18309</v>
      </c>
      <c r="H237" s="417">
        <v>18309</v>
      </c>
      <c r="I237" s="417"/>
      <c r="J237" s="289">
        <f t="shared" si="6"/>
        <v>100</v>
      </c>
      <c r="K237" s="23"/>
      <c r="L237" s="41"/>
    </row>
    <row r="238" spans="1:12" s="21" customFormat="1" ht="30" customHeight="1">
      <c r="A238" s="102"/>
      <c r="C238" s="272" t="s">
        <v>15</v>
      </c>
      <c r="D238" s="427" t="s">
        <v>351</v>
      </c>
      <c r="E238" s="428" t="s">
        <v>1</v>
      </c>
      <c r="F238" s="429"/>
      <c r="G238" s="430">
        <f>227842-44001-49000</f>
        <v>134841</v>
      </c>
      <c r="H238" s="431">
        <v>134309.7</v>
      </c>
      <c r="I238" s="431"/>
      <c r="J238" s="289">
        <f t="shared" si="6"/>
        <v>99.6</v>
      </c>
      <c r="K238" s="23"/>
      <c r="L238" s="41"/>
    </row>
    <row r="239" spans="1:12" s="21" customFormat="1" ht="30" customHeight="1">
      <c r="A239" s="102"/>
      <c r="C239" s="272"/>
      <c r="D239" s="432" t="s">
        <v>367</v>
      </c>
      <c r="E239" s="428"/>
      <c r="F239" s="429"/>
      <c r="G239" s="429">
        <f>SUM(G240,G241)</f>
        <v>496500</v>
      </c>
      <c r="H239" s="429">
        <f>SUM(H240,H241)</f>
        <v>290780.88</v>
      </c>
      <c r="I239" s="429">
        <f>SUM(I240,I241)</f>
        <v>104134.79999999999</v>
      </c>
      <c r="J239" s="433">
        <f>SUM(J240,J241)</f>
        <v>172.9</v>
      </c>
      <c r="K239" s="23"/>
      <c r="L239" s="41"/>
    </row>
    <row r="240" spans="1:12" s="21" customFormat="1" ht="15">
      <c r="A240" s="102"/>
      <c r="C240" s="272" t="s">
        <v>15</v>
      </c>
      <c r="D240" s="434" t="s">
        <v>368</v>
      </c>
      <c r="E240" s="428" t="s">
        <v>1</v>
      </c>
      <c r="F240" s="429">
        <v>476500</v>
      </c>
      <c r="G240" s="433">
        <v>476500</v>
      </c>
      <c r="H240" s="417">
        <v>267412.08</v>
      </c>
      <c r="I240" s="417">
        <v>85532.4</v>
      </c>
      <c r="J240" s="263">
        <f aca="true" t="shared" si="7" ref="J240:J250">ROUND(H240/G240*100,1)</f>
        <v>56.1</v>
      </c>
      <c r="K240" s="23"/>
      <c r="L240" s="41"/>
    </row>
    <row r="241" spans="1:12" s="21" customFormat="1" ht="15">
      <c r="A241" s="102"/>
      <c r="C241" s="272" t="s">
        <v>15</v>
      </c>
      <c r="D241" s="427" t="s">
        <v>317</v>
      </c>
      <c r="E241" s="428" t="s">
        <v>1</v>
      </c>
      <c r="F241" s="429"/>
      <c r="G241" s="433">
        <v>20000</v>
      </c>
      <c r="H241" s="417">
        <v>23368.8</v>
      </c>
      <c r="I241" s="417">
        <v>18602.4</v>
      </c>
      <c r="J241" s="263">
        <f t="shared" si="7"/>
        <v>116.8</v>
      </c>
      <c r="K241" s="23"/>
      <c r="L241" s="41"/>
    </row>
    <row r="242" spans="1:12" s="12" customFormat="1" ht="17.25" customHeight="1">
      <c r="A242" s="103"/>
      <c r="C242" s="178"/>
      <c r="D242" s="363" t="s">
        <v>369</v>
      </c>
      <c r="E242" s="435"/>
      <c r="F242" s="288">
        <f>SUM(F243:F247)</f>
        <v>109650</v>
      </c>
      <c r="G242" s="288">
        <f>SUM(G243:G247)</f>
        <v>548650</v>
      </c>
      <c r="H242" s="288">
        <f>SUM(H243:H247)</f>
        <v>245570.08000000002</v>
      </c>
      <c r="I242" s="288">
        <f>SUM(I243:I247)</f>
        <v>36387.94</v>
      </c>
      <c r="J242" s="289">
        <f t="shared" si="7"/>
        <v>44.8</v>
      </c>
      <c r="K242" s="26"/>
      <c r="L242" s="34"/>
    </row>
    <row r="243" spans="1:11" ht="16.5" customHeight="1">
      <c r="A243" s="103"/>
      <c r="C243" s="178" t="s">
        <v>15</v>
      </c>
      <c r="D243" s="281" t="s">
        <v>264</v>
      </c>
      <c r="E243" s="436" t="s">
        <v>1</v>
      </c>
      <c r="F243" s="259">
        <v>100000</v>
      </c>
      <c r="G243" s="259">
        <f>100000+130000+130000-80000+80000</f>
        <v>360000</v>
      </c>
      <c r="H243" s="283">
        <v>167637.88</v>
      </c>
      <c r="I243" s="283">
        <v>36387.94</v>
      </c>
      <c r="J243" s="260">
        <f t="shared" si="7"/>
        <v>46.6</v>
      </c>
      <c r="K243" s="26"/>
    </row>
    <row r="244" spans="1:11" ht="16.5" customHeight="1">
      <c r="A244" s="103"/>
      <c r="C244" s="178" t="s">
        <v>10</v>
      </c>
      <c r="D244" s="437" t="s">
        <v>335</v>
      </c>
      <c r="E244" s="438" t="s">
        <v>1</v>
      </c>
      <c r="F244" s="439"/>
      <c r="G244" s="439">
        <v>20000</v>
      </c>
      <c r="H244" s="440">
        <v>18370.6</v>
      </c>
      <c r="I244" s="440"/>
      <c r="J244" s="441">
        <f t="shared" si="7"/>
        <v>91.9</v>
      </c>
      <c r="K244" s="26"/>
    </row>
    <row r="245" spans="1:11" ht="16.5" customHeight="1">
      <c r="A245" s="103"/>
      <c r="C245" s="178" t="s">
        <v>10</v>
      </c>
      <c r="D245" s="281" t="s">
        <v>336</v>
      </c>
      <c r="E245" s="436" t="s">
        <v>1</v>
      </c>
      <c r="F245" s="259"/>
      <c r="G245" s="259">
        <v>50000</v>
      </c>
      <c r="H245" s="283">
        <v>21561.6</v>
      </c>
      <c r="I245" s="283"/>
      <c r="J245" s="260">
        <f t="shared" si="7"/>
        <v>43.1</v>
      </c>
      <c r="K245" s="26"/>
    </row>
    <row r="246" spans="1:12" s="25" customFormat="1" ht="16.5" customHeight="1">
      <c r="A246" s="102"/>
      <c r="B246" s="21"/>
      <c r="C246" s="272" t="s">
        <v>10</v>
      </c>
      <c r="D246" s="442" t="s">
        <v>265</v>
      </c>
      <c r="E246" s="443" t="s">
        <v>1</v>
      </c>
      <c r="F246" s="444">
        <v>3100</v>
      </c>
      <c r="G246" s="444">
        <v>40550</v>
      </c>
      <c r="H246" s="445">
        <v>6550</v>
      </c>
      <c r="I246" s="445"/>
      <c r="J246" s="320">
        <f t="shared" si="7"/>
        <v>16.2</v>
      </c>
      <c r="K246" s="23"/>
      <c r="L246" s="24"/>
    </row>
    <row r="247" spans="1:12" s="25" customFormat="1" ht="33" customHeight="1">
      <c r="A247" s="102"/>
      <c r="B247" s="21"/>
      <c r="C247" s="272" t="s">
        <v>10</v>
      </c>
      <c r="D247" s="446" t="s">
        <v>265</v>
      </c>
      <c r="E247" s="447" t="s">
        <v>1</v>
      </c>
      <c r="F247" s="370">
        <v>6550</v>
      </c>
      <c r="G247" s="370">
        <v>78100</v>
      </c>
      <c r="H247" s="417">
        <v>31450</v>
      </c>
      <c r="I247" s="417"/>
      <c r="J247" s="263">
        <f t="shared" si="7"/>
        <v>40.3</v>
      </c>
      <c r="K247" s="23"/>
      <c r="L247" s="24"/>
    </row>
    <row r="248" spans="1:12" s="21" customFormat="1" ht="59.25" customHeight="1">
      <c r="A248" s="102"/>
      <c r="C248" s="272" t="s">
        <v>10</v>
      </c>
      <c r="D248" s="432" t="s">
        <v>370</v>
      </c>
      <c r="E248" s="428" t="s">
        <v>1</v>
      </c>
      <c r="F248" s="429">
        <v>18000</v>
      </c>
      <c r="G248" s="429">
        <v>18000</v>
      </c>
      <c r="H248" s="362"/>
      <c r="I248" s="362"/>
      <c r="J248" s="322">
        <f t="shared" si="7"/>
        <v>0</v>
      </c>
      <c r="K248" s="23"/>
      <c r="L248" s="41"/>
    </row>
    <row r="249" spans="1:12" s="12" customFormat="1" ht="17.25" customHeight="1">
      <c r="A249" s="103"/>
      <c r="C249" s="178"/>
      <c r="D249" s="448" t="s">
        <v>51</v>
      </c>
      <c r="E249" s="364"/>
      <c r="F249" s="288">
        <f>SUM(F250:F255,F259)</f>
        <v>712000</v>
      </c>
      <c r="G249" s="288">
        <f>SUM(G250:G255,G259)</f>
        <v>1039824</v>
      </c>
      <c r="H249" s="288">
        <f>SUM(H250:H255,H259)</f>
        <v>596527.95</v>
      </c>
      <c r="I249" s="288">
        <f>SUM(I250:I255,I259)</f>
        <v>95205.78</v>
      </c>
      <c r="J249" s="449">
        <f t="shared" si="7"/>
        <v>57.4</v>
      </c>
      <c r="K249" s="26"/>
      <c r="L249" s="34"/>
    </row>
    <row r="250" spans="1:11" ht="16.5" customHeight="1">
      <c r="A250" s="103"/>
      <c r="C250" s="178" t="s">
        <v>15</v>
      </c>
      <c r="D250" s="281" t="s">
        <v>52</v>
      </c>
      <c r="E250" s="282" t="s">
        <v>1</v>
      </c>
      <c r="F250" s="259">
        <v>280000</v>
      </c>
      <c r="G250" s="259">
        <f>280000+70000</f>
        <v>350000</v>
      </c>
      <c r="H250" s="283">
        <v>341741.07</v>
      </c>
      <c r="I250" s="285">
        <f>62990.24+3234</f>
        <v>66224.23999999999</v>
      </c>
      <c r="J250" s="260">
        <f t="shared" si="7"/>
        <v>97.6</v>
      </c>
      <c r="K250" s="26"/>
    </row>
    <row r="251" spans="1:11" ht="16.5" customHeight="1">
      <c r="A251" s="103"/>
      <c r="C251" s="178" t="s">
        <v>15</v>
      </c>
      <c r="D251" s="437" t="s">
        <v>52</v>
      </c>
      <c r="E251" s="450" t="s">
        <v>1</v>
      </c>
      <c r="F251" s="439"/>
      <c r="G251" s="439">
        <v>24824</v>
      </c>
      <c r="H251" s="440"/>
      <c r="I251" s="440"/>
      <c r="J251" s="320"/>
      <c r="K251" s="26"/>
    </row>
    <row r="252" spans="1:11" ht="15">
      <c r="A252" s="103"/>
      <c r="C252" s="178" t="s">
        <v>15</v>
      </c>
      <c r="D252" s="264" t="s">
        <v>266</v>
      </c>
      <c r="E252" s="265" t="s">
        <v>1</v>
      </c>
      <c r="F252" s="284">
        <v>130000</v>
      </c>
      <c r="G252" s="284">
        <f>130000+8000</f>
        <v>138000</v>
      </c>
      <c r="H252" s="285">
        <v>92286</v>
      </c>
      <c r="I252" s="285"/>
      <c r="J252" s="263">
        <f aca="true" t="shared" si="8" ref="J252:J274">ROUND(H252/G252*100,1)</f>
        <v>66.9</v>
      </c>
      <c r="K252" s="26"/>
    </row>
    <row r="253" spans="1:11" ht="15">
      <c r="A253" s="103"/>
      <c r="C253" s="178" t="s">
        <v>15</v>
      </c>
      <c r="D253" s="264" t="s">
        <v>53</v>
      </c>
      <c r="E253" s="265" t="s">
        <v>1</v>
      </c>
      <c r="F253" s="284">
        <v>100000</v>
      </c>
      <c r="G253" s="284">
        <v>100000</v>
      </c>
      <c r="H253" s="285">
        <v>65475.94</v>
      </c>
      <c r="I253" s="285">
        <f>2244+1776</f>
        <v>4020</v>
      </c>
      <c r="J253" s="392">
        <f t="shared" si="8"/>
        <v>65.5</v>
      </c>
      <c r="K253" s="26"/>
    </row>
    <row r="254" spans="1:11" ht="33.75" customHeight="1">
      <c r="A254" s="103"/>
      <c r="C254" s="178" t="s">
        <v>15</v>
      </c>
      <c r="D254" s="264" t="s">
        <v>267</v>
      </c>
      <c r="E254" s="265" t="s">
        <v>1</v>
      </c>
      <c r="F254" s="284">
        <v>32000</v>
      </c>
      <c r="G254" s="284">
        <v>32000</v>
      </c>
      <c r="H254" s="285">
        <v>32298</v>
      </c>
      <c r="I254" s="285">
        <v>21171.6</v>
      </c>
      <c r="J254" s="263">
        <f t="shared" si="8"/>
        <v>100.9</v>
      </c>
      <c r="K254" s="26"/>
    </row>
    <row r="255" spans="1:11" ht="15">
      <c r="A255" s="103"/>
      <c r="C255" s="178" t="s">
        <v>15</v>
      </c>
      <c r="D255" s="421" t="s">
        <v>268</v>
      </c>
      <c r="E255" s="364" t="s">
        <v>1</v>
      </c>
      <c r="F255" s="349">
        <f>SUM(F256:F258)</f>
        <v>170000</v>
      </c>
      <c r="G255" s="349">
        <f>170000+50000+45000</f>
        <v>265000</v>
      </c>
      <c r="H255" s="350">
        <f>SUM(H256,H257,H258)</f>
        <v>10129.369999999999</v>
      </c>
      <c r="I255" s="350">
        <f>SUM(I256,I257,I258)</f>
        <v>3570</v>
      </c>
      <c r="J255" s="289">
        <f t="shared" si="8"/>
        <v>3.8</v>
      </c>
      <c r="K255" s="26"/>
    </row>
    <row r="256" spans="1:12" s="45" customFormat="1" ht="12.75">
      <c r="A256" s="110"/>
      <c r="D256" s="64" t="s">
        <v>269</v>
      </c>
      <c r="E256" s="65"/>
      <c r="F256" s="75">
        <v>125000</v>
      </c>
      <c r="G256" s="75">
        <v>125000</v>
      </c>
      <c r="H256" s="119"/>
      <c r="I256" s="119"/>
      <c r="J256" s="279">
        <f t="shared" si="8"/>
        <v>0</v>
      </c>
      <c r="K256" s="48"/>
      <c r="L256" s="66"/>
    </row>
    <row r="257" spans="1:12" s="45" customFormat="1" ht="12.75">
      <c r="A257" s="110"/>
      <c r="D257" s="64" t="s">
        <v>270</v>
      </c>
      <c r="E257" s="65"/>
      <c r="F257" s="75">
        <v>35000</v>
      </c>
      <c r="G257" s="75">
        <v>35000</v>
      </c>
      <c r="H257" s="119">
        <v>6559.37</v>
      </c>
      <c r="I257" s="119"/>
      <c r="J257" s="279"/>
      <c r="K257" s="48"/>
      <c r="L257" s="66"/>
    </row>
    <row r="258" spans="1:12" s="45" customFormat="1" ht="12.75">
      <c r="A258" s="115"/>
      <c r="B258" s="76"/>
      <c r="C258" s="76"/>
      <c r="D258" s="89" t="s">
        <v>271</v>
      </c>
      <c r="E258" s="90"/>
      <c r="F258" s="91">
        <v>10000</v>
      </c>
      <c r="G258" s="91">
        <v>10000</v>
      </c>
      <c r="H258" s="124">
        <v>3570</v>
      </c>
      <c r="I258" s="124">
        <v>3570</v>
      </c>
      <c r="J258" s="279">
        <f t="shared" si="8"/>
        <v>35.7</v>
      </c>
      <c r="K258" s="77"/>
      <c r="L258" s="66"/>
    </row>
    <row r="259" spans="1:12" s="45" customFormat="1" ht="12.75">
      <c r="A259" s="110"/>
      <c r="C259" s="92" t="s">
        <v>15</v>
      </c>
      <c r="D259" s="451" t="s">
        <v>272</v>
      </c>
      <c r="E259" s="68" t="s">
        <v>1</v>
      </c>
      <c r="F259" s="93"/>
      <c r="G259" s="94">
        <f>130000</f>
        <v>130000</v>
      </c>
      <c r="H259" s="122">
        <v>54597.57</v>
      </c>
      <c r="I259" s="122">
        <v>219.94</v>
      </c>
      <c r="J259" s="452">
        <f t="shared" si="8"/>
        <v>42</v>
      </c>
      <c r="K259" s="48"/>
      <c r="L259" s="66"/>
    </row>
    <row r="260" spans="1:12" s="21" customFormat="1" ht="24" customHeight="1">
      <c r="A260" s="105"/>
      <c r="B260" s="22"/>
      <c r="C260" s="251"/>
      <c r="D260" s="274" t="s">
        <v>273</v>
      </c>
      <c r="E260" s="275"/>
      <c r="F260" s="276">
        <f>SUM(F262,F265,F268,F271)</f>
        <v>162500</v>
      </c>
      <c r="G260" s="276">
        <f>SUM(G261,G264,G267,G271)</f>
        <v>198599</v>
      </c>
      <c r="H260" s="276">
        <f>SUM(H261,H264,H267,H271)</f>
        <v>144712.55</v>
      </c>
      <c r="I260" s="276">
        <f>SUM(I261,I264,I267,I271)</f>
        <v>2875.64</v>
      </c>
      <c r="J260" s="256">
        <f t="shared" si="8"/>
        <v>72.9</v>
      </c>
      <c r="K260" s="32"/>
      <c r="L260" s="41"/>
    </row>
    <row r="261" spans="1:12" s="21" customFormat="1" ht="24" customHeight="1">
      <c r="A261" s="102"/>
      <c r="C261" s="272"/>
      <c r="D261" s="453" t="s">
        <v>371</v>
      </c>
      <c r="E261" s="372"/>
      <c r="F261" s="301"/>
      <c r="G261" s="301">
        <f>SUM(G262,G263)</f>
        <v>39000</v>
      </c>
      <c r="H261" s="301">
        <f>SUM(H262,H263)</f>
        <v>39016.91</v>
      </c>
      <c r="I261" s="301">
        <f>SUM(I262,I263)</f>
        <v>0</v>
      </c>
      <c r="J261" s="279">
        <f t="shared" si="8"/>
        <v>100</v>
      </c>
      <c r="K261" s="23"/>
      <c r="L261" s="41"/>
    </row>
    <row r="262" spans="1:12" s="25" customFormat="1" ht="45" customHeight="1">
      <c r="A262" s="102"/>
      <c r="B262" s="21"/>
      <c r="C262" s="272" t="s">
        <v>15</v>
      </c>
      <c r="D262" s="453" t="s">
        <v>372</v>
      </c>
      <c r="E262" s="357" t="s">
        <v>1</v>
      </c>
      <c r="F262" s="454">
        <v>39000</v>
      </c>
      <c r="G262" s="60">
        <v>32000</v>
      </c>
      <c r="H262" s="121">
        <v>32016.91</v>
      </c>
      <c r="I262" s="121"/>
      <c r="J262" s="260">
        <f t="shared" si="8"/>
        <v>100.1</v>
      </c>
      <c r="K262" s="23"/>
      <c r="L262" s="24"/>
    </row>
    <row r="263" spans="1:12" s="25" customFormat="1" ht="45" customHeight="1">
      <c r="A263" s="102"/>
      <c r="B263" s="21"/>
      <c r="C263" s="272" t="s">
        <v>15</v>
      </c>
      <c r="D263" s="455" t="s">
        <v>352</v>
      </c>
      <c r="E263" s="357" t="s">
        <v>3</v>
      </c>
      <c r="F263" s="454"/>
      <c r="G263" s="60">
        <v>7000</v>
      </c>
      <c r="H263" s="121">
        <v>7000</v>
      </c>
      <c r="I263" s="121"/>
      <c r="J263" s="260">
        <f t="shared" si="8"/>
        <v>100</v>
      </c>
      <c r="K263" s="23"/>
      <c r="L263" s="24"/>
    </row>
    <row r="264" spans="1:12" s="25" customFormat="1" ht="33" customHeight="1">
      <c r="A264" s="102"/>
      <c r="B264" s="21"/>
      <c r="C264" s="272"/>
      <c r="D264" s="456" t="s">
        <v>318</v>
      </c>
      <c r="E264" s="357"/>
      <c r="F264" s="454"/>
      <c r="G264" s="454">
        <f>SUM(G265,G266)</f>
        <v>13620</v>
      </c>
      <c r="H264" s="454">
        <f>SUM(H265,H266)</f>
        <v>5695.639999999999</v>
      </c>
      <c r="I264" s="454">
        <f>SUM(I265,I266)</f>
        <v>2875.64</v>
      </c>
      <c r="J264" s="260">
        <f t="shared" si="8"/>
        <v>41.8</v>
      </c>
      <c r="K264" s="23"/>
      <c r="L264" s="24"/>
    </row>
    <row r="265" spans="1:12" s="25" customFormat="1" ht="31.5" customHeight="1">
      <c r="A265" s="102"/>
      <c r="B265" s="21"/>
      <c r="C265" s="272" t="s">
        <v>55</v>
      </c>
      <c r="D265" s="368" t="s">
        <v>319</v>
      </c>
      <c r="E265" s="369" t="s">
        <v>1</v>
      </c>
      <c r="F265" s="457">
        <v>3500</v>
      </c>
      <c r="G265" s="458">
        <f>3500+7300</f>
        <v>10800</v>
      </c>
      <c r="H265" s="459">
        <v>2875.64</v>
      </c>
      <c r="I265" s="459">
        <v>2875.64</v>
      </c>
      <c r="J265" s="260">
        <f t="shared" si="8"/>
        <v>26.6</v>
      </c>
      <c r="K265" s="23"/>
      <c r="L265" s="24"/>
    </row>
    <row r="266" spans="1:12" s="25" customFormat="1" ht="31.5" customHeight="1">
      <c r="A266" s="102"/>
      <c r="B266" s="21"/>
      <c r="C266" s="272" t="s">
        <v>55</v>
      </c>
      <c r="D266" s="368" t="s">
        <v>320</v>
      </c>
      <c r="E266" s="369" t="s">
        <v>1</v>
      </c>
      <c r="F266" s="457"/>
      <c r="G266" s="458">
        <v>2820</v>
      </c>
      <c r="H266" s="459">
        <v>2820</v>
      </c>
      <c r="I266" s="460"/>
      <c r="J266" s="260">
        <f t="shared" si="8"/>
        <v>100</v>
      </c>
      <c r="K266" s="23"/>
      <c r="L266" s="24"/>
    </row>
    <row r="267" spans="1:12" s="25" customFormat="1" ht="31.5" customHeight="1">
      <c r="A267" s="102"/>
      <c r="B267" s="21"/>
      <c r="C267" s="272"/>
      <c r="D267" s="461" t="s">
        <v>321</v>
      </c>
      <c r="E267" s="369"/>
      <c r="F267" s="457"/>
      <c r="G267" s="457">
        <f>SUM(G268,G269,G270)</f>
        <v>39979</v>
      </c>
      <c r="H267" s="458">
        <f>SUM(H268,H269)</f>
        <v>0</v>
      </c>
      <c r="I267" s="458"/>
      <c r="J267" s="263"/>
      <c r="K267" s="23"/>
      <c r="L267" s="24"/>
    </row>
    <row r="268" spans="1:12" s="25" customFormat="1" ht="15">
      <c r="A268" s="102"/>
      <c r="B268" s="21"/>
      <c r="C268" s="272" t="s">
        <v>15</v>
      </c>
      <c r="D268" s="368" t="s">
        <v>353</v>
      </c>
      <c r="E268" s="369" t="s">
        <v>1</v>
      </c>
      <c r="F268" s="457">
        <v>30000</v>
      </c>
      <c r="G268" s="458">
        <v>30000</v>
      </c>
      <c r="H268" s="460"/>
      <c r="I268" s="460"/>
      <c r="J268" s="263">
        <f t="shared" si="8"/>
        <v>0</v>
      </c>
      <c r="K268" s="23"/>
      <c r="L268" s="24"/>
    </row>
    <row r="269" spans="1:12" s="25" customFormat="1" ht="15">
      <c r="A269" s="102"/>
      <c r="B269" s="21"/>
      <c r="C269" s="272"/>
      <c r="D269" s="462" t="s">
        <v>322</v>
      </c>
      <c r="E269" s="463" t="s">
        <v>1</v>
      </c>
      <c r="F269" s="464"/>
      <c r="G269" s="465">
        <v>3979</v>
      </c>
      <c r="H269" s="466"/>
      <c r="I269" s="466"/>
      <c r="J269" s="380"/>
      <c r="K269" s="23"/>
      <c r="L269" s="24"/>
    </row>
    <row r="270" spans="1:12" s="25" customFormat="1" ht="25.5">
      <c r="A270" s="102"/>
      <c r="B270" s="21"/>
      <c r="C270" s="272"/>
      <c r="D270" s="467" t="s">
        <v>323</v>
      </c>
      <c r="E270" s="369" t="s">
        <v>1</v>
      </c>
      <c r="F270" s="361"/>
      <c r="G270" s="468">
        <v>6000</v>
      </c>
      <c r="H270" s="362"/>
      <c r="I270" s="362"/>
      <c r="J270" s="289"/>
      <c r="K270" s="23"/>
      <c r="L270" s="24"/>
    </row>
    <row r="271" spans="1:11" ht="17.25" customHeight="1">
      <c r="A271" s="103"/>
      <c r="C271" s="178"/>
      <c r="D271" s="469" t="s">
        <v>274</v>
      </c>
      <c r="E271" s="287"/>
      <c r="F271" s="288">
        <f>SUM(F272:F274)</f>
        <v>90000</v>
      </c>
      <c r="G271" s="288">
        <f>SUM(G272,G273,G274)</f>
        <v>106000</v>
      </c>
      <c r="H271" s="288">
        <f>SUM(H272,H273,H274)</f>
        <v>100000</v>
      </c>
      <c r="I271" s="288">
        <f>SUM(I272,I273,I274)</f>
        <v>0</v>
      </c>
      <c r="J271" s="289">
        <f t="shared" si="8"/>
        <v>94.3</v>
      </c>
      <c r="K271" s="26"/>
    </row>
    <row r="272" spans="1:11" ht="17.25" customHeight="1">
      <c r="A272" s="103"/>
      <c r="C272" s="178"/>
      <c r="D272" s="470"/>
      <c r="E272" s="73"/>
      <c r="F272" s="259">
        <v>10000</v>
      </c>
      <c r="G272" s="259">
        <f>10000-10000</f>
        <v>0</v>
      </c>
      <c r="H272" s="283"/>
      <c r="I272" s="283"/>
      <c r="J272" s="260"/>
      <c r="K272" s="26"/>
    </row>
    <row r="273" spans="1:11" ht="17.25" customHeight="1">
      <c r="A273" s="103"/>
      <c r="C273" s="178" t="s">
        <v>15</v>
      </c>
      <c r="D273" s="471" t="s">
        <v>324</v>
      </c>
      <c r="E273" s="73" t="s">
        <v>1</v>
      </c>
      <c r="F273" s="293"/>
      <c r="G273" s="293">
        <v>6000</v>
      </c>
      <c r="H273" s="294"/>
      <c r="I273" s="294"/>
      <c r="J273" s="260"/>
      <c r="K273" s="26"/>
    </row>
    <row r="274" spans="1:12" s="25" customFormat="1" ht="36.75" customHeight="1">
      <c r="A274" s="104"/>
      <c r="B274" s="27"/>
      <c r="C274" s="267" t="s">
        <v>15</v>
      </c>
      <c r="D274" s="268" t="s">
        <v>275</v>
      </c>
      <c r="E274" s="269" t="s">
        <v>3</v>
      </c>
      <c r="F274" s="270">
        <v>80000</v>
      </c>
      <c r="G274" s="270">
        <f>80000+20000</f>
        <v>100000</v>
      </c>
      <c r="H274" s="295">
        <v>100000</v>
      </c>
      <c r="I274" s="295"/>
      <c r="J274" s="271">
        <f t="shared" si="8"/>
        <v>100</v>
      </c>
      <c r="K274" s="78"/>
      <c r="L274" s="24"/>
    </row>
    <row r="275" spans="3:16" s="12" customFormat="1" ht="15">
      <c r="C275" s="178"/>
      <c r="D275" s="472"/>
      <c r="E275" s="473"/>
      <c r="F275" s="473"/>
      <c r="G275" s="472"/>
      <c r="H275" s="472"/>
      <c r="I275" s="472"/>
      <c r="J275" s="474"/>
      <c r="L275" s="14"/>
      <c r="M275" s="15"/>
      <c r="N275" s="15"/>
      <c r="O275" s="15"/>
      <c r="P275" s="15"/>
    </row>
    <row r="276" spans="3:16" s="12" customFormat="1" ht="31.5" customHeight="1">
      <c r="C276" s="475" t="s">
        <v>284</v>
      </c>
      <c r="D276" s="476" t="s">
        <v>285</v>
      </c>
      <c r="E276" s="476"/>
      <c r="F276" s="476"/>
      <c r="G276" s="477"/>
      <c r="H276" s="477"/>
      <c r="I276" s="477"/>
      <c r="J276" s="477"/>
      <c r="L276" s="14"/>
      <c r="M276" s="15"/>
      <c r="N276" s="15"/>
      <c r="O276" s="15"/>
      <c r="P276" s="15"/>
    </row>
  </sheetData>
  <sheetProtection/>
  <mergeCells count="3">
    <mergeCell ref="D1:J1"/>
    <mergeCell ref="D10:J10"/>
    <mergeCell ref="D276:J276"/>
  </mergeCells>
  <printOptions/>
  <pageMargins left="0.7480314960629921" right="0.7480314960629921" top="0.984251968503937" bottom="0.984251968503937" header="0.5118110236220472" footer="0.5118110236220472"/>
  <pageSetup firstPageNumber="5" useFirstPageNumber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Tartu Linnavalitsus</cp:lastModifiedBy>
  <cp:lastPrinted>2016-10-24T08:54:21Z</cp:lastPrinted>
  <dcterms:created xsi:type="dcterms:W3CDTF">2015-04-15T07:16:59Z</dcterms:created>
  <dcterms:modified xsi:type="dcterms:W3CDTF">2016-10-24T08:54:52Z</dcterms:modified>
  <cp:category/>
  <cp:version/>
  <cp:contentType/>
  <cp:contentStatus/>
</cp:coreProperties>
</file>